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1.xml" ContentType="application/vnd.openxmlformats-officedocument.spreadsheetml.externalLink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xl/externalLinks/externalLink10.xml" ContentType="application/vnd.openxmlformats-officedocument.spreadsheetml.externalLink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11_15\5135\"/>
    </mc:Choice>
  </mc:AlternateContent>
  <bookViews>
    <workbookView xWindow="195" yWindow="180" windowWidth="13380" windowHeight="7350" tabRatio="730"/>
  </bookViews>
  <sheets>
    <sheet name="References" sheetId="4" r:id="rId1"/>
    <sheet name="Gray's DF Calc" sheetId="17" r:id="rId2"/>
    <sheet name="Proposed Rates" sheetId="14" r:id="rId3"/>
    <sheet name="Disposal Schedule" sheetId="16" r:id="rId4"/>
    <sheet name="Company Regulated Cust Count" sheetId="15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</externalReferences>
  <definedNames>
    <definedName name="_____________CYA1">[1]Hidden!$N$11</definedName>
    <definedName name="_____________CYA10">[1]Hidden!$E$11</definedName>
    <definedName name="_____________CYA11">[1]Hidden!$P$11</definedName>
    <definedName name="_____________CYA2">[1]Hidden!$M$11</definedName>
    <definedName name="_____________CYA3">[1]Hidden!$L$11</definedName>
    <definedName name="_____________CYA4">[1]Hidden!$K$11</definedName>
    <definedName name="_____________CYA5">[1]Hidden!$J$11</definedName>
    <definedName name="_____________CYA6">[1]Hidden!$I$11</definedName>
    <definedName name="_____________CYA7">[1]Hidden!$H$11</definedName>
    <definedName name="_____________CYA8">[1]Hidden!$G$11</definedName>
    <definedName name="_____________CYA9">[1]Hidden!$F$11</definedName>
    <definedName name="_____________LYA12">[1]Hidden!$O$11</definedName>
    <definedName name="____________CYA1">[1]Hidden!$N$11</definedName>
    <definedName name="____________CYA10">[1]Hidden!$E$11</definedName>
    <definedName name="____________CYA11">[1]Hidden!$P$11</definedName>
    <definedName name="____________CYA2">[1]Hidden!$M$11</definedName>
    <definedName name="____________CYA3">[1]Hidden!$L$11</definedName>
    <definedName name="____________CYA4">[1]Hidden!$K$11</definedName>
    <definedName name="____________CYA5">[1]Hidden!$J$11</definedName>
    <definedName name="____________CYA6">[1]Hidden!$I$11</definedName>
    <definedName name="____________CYA7">[1]Hidden!$H$11</definedName>
    <definedName name="____________CYA8">[1]Hidden!$G$11</definedName>
    <definedName name="____________CYA9">[1]Hidden!$F$11</definedName>
    <definedName name="____________LYA12">[1]Hidden!$O$11</definedName>
    <definedName name="___________CYA1">[1]Hidden!$N$11</definedName>
    <definedName name="___________CYA10">[1]Hidden!$E$11</definedName>
    <definedName name="___________CYA11">[1]Hidden!$P$11</definedName>
    <definedName name="___________CYA2">[1]Hidden!$M$11</definedName>
    <definedName name="___________CYA3">[1]Hidden!$L$11</definedName>
    <definedName name="___________CYA4">[1]Hidden!$K$11</definedName>
    <definedName name="___________CYA5">[1]Hidden!$J$11</definedName>
    <definedName name="___________CYA6">[1]Hidden!$I$11</definedName>
    <definedName name="___________CYA7">[1]Hidden!$H$11</definedName>
    <definedName name="___________CYA8">[1]Hidden!$G$11</definedName>
    <definedName name="___________CYA9">[1]Hidden!$F$11</definedName>
    <definedName name="___________LYA12">[1]Hidden!$O$11</definedName>
    <definedName name="__________CYA1">[1]Hidden!$N$11</definedName>
    <definedName name="__________CYA10">[1]Hidden!$E$11</definedName>
    <definedName name="__________CYA11">[1]Hidden!$P$11</definedName>
    <definedName name="__________CYA2">[1]Hidden!$M$11</definedName>
    <definedName name="__________CYA3">[1]Hidden!$L$11</definedName>
    <definedName name="__________CYA4">[1]Hidden!$K$11</definedName>
    <definedName name="__________CYA5">[1]Hidden!$J$11</definedName>
    <definedName name="__________CYA6">[1]Hidden!$I$11</definedName>
    <definedName name="__________CYA7">[1]Hidden!$H$11</definedName>
    <definedName name="__________CYA8">[1]Hidden!$G$11</definedName>
    <definedName name="__________CYA9">[1]Hidden!$F$11</definedName>
    <definedName name="__________LYA12">[1]Hidden!$O$11</definedName>
    <definedName name="_________CYA1">[1]Hidden!$N$11</definedName>
    <definedName name="_________CYA10">[1]Hidden!$E$11</definedName>
    <definedName name="_________CYA11">[1]Hidden!$P$11</definedName>
    <definedName name="_________CYA2">[1]Hidden!$M$11</definedName>
    <definedName name="_________CYA3">[1]Hidden!$L$11</definedName>
    <definedName name="_________CYA4">[1]Hidden!$K$11</definedName>
    <definedName name="_________CYA5">[1]Hidden!$J$11</definedName>
    <definedName name="_________CYA6">[1]Hidden!$I$11</definedName>
    <definedName name="_________CYA7">[1]Hidden!$H$11</definedName>
    <definedName name="_________CYA8">[1]Hidden!$G$11</definedName>
    <definedName name="_________CYA9">[1]Hidden!$F$11</definedName>
    <definedName name="_________LYA12">[1]Hidden!$O$11</definedName>
    <definedName name="________CYA1">[1]Hidden!$N$11</definedName>
    <definedName name="________CYA10">[1]Hidden!$E$11</definedName>
    <definedName name="________CYA11">[1]Hidden!$P$11</definedName>
    <definedName name="________CYA2">[1]Hidden!$M$11</definedName>
    <definedName name="________CYA3">[1]Hidden!$L$11</definedName>
    <definedName name="________CYA4">[1]Hidden!$K$11</definedName>
    <definedName name="________CYA5">[1]Hidden!$J$11</definedName>
    <definedName name="________CYA6">[1]Hidden!$I$11</definedName>
    <definedName name="________CYA7">[1]Hidden!$H$11</definedName>
    <definedName name="________CYA8">[1]Hidden!$G$11</definedName>
    <definedName name="________CYA9">[1]Hidden!$F$11</definedName>
    <definedName name="________LYA12">[1]Hidden!$O$11</definedName>
    <definedName name="_______CYA1">[1]Hidden!$N$11</definedName>
    <definedName name="_______CYA10">[1]Hidden!$E$11</definedName>
    <definedName name="_______CYA11">[1]Hidden!$P$11</definedName>
    <definedName name="_______CYA2">[1]Hidden!$M$11</definedName>
    <definedName name="_______CYA3">[1]Hidden!$L$11</definedName>
    <definedName name="_______CYA4">[1]Hidden!$K$11</definedName>
    <definedName name="_______CYA5">[1]Hidden!$J$11</definedName>
    <definedName name="_______CYA6">[1]Hidden!$I$11</definedName>
    <definedName name="_______CYA7">[1]Hidden!$H$11</definedName>
    <definedName name="_______CYA8">[1]Hidden!$G$11</definedName>
    <definedName name="_______CYA9">[1]Hidden!$F$11</definedName>
    <definedName name="_______LYA12">[1]Hidden!$O$11</definedName>
    <definedName name="______CYA1">[1]Hidden!$N$11</definedName>
    <definedName name="______CYA10">[1]Hidden!$E$11</definedName>
    <definedName name="______CYA11">[1]Hidden!$P$11</definedName>
    <definedName name="______CYA2">[1]Hidden!$M$11</definedName>
    <definedName name="______CYA3">[1]Hidden!$L$11</definedName>
    <definedName name="______CYA4">[1]Hidden!$K$11</definedName>
    <definedName name="______CYA5">[1]Hidden!$J$11</definedName>
    <definedName name="______CYA6">[1]Hidden!$I$11</definedName>
    <definedName name="______CYA7">[1]Hidden!$H$11</definedName>
    <definedName name="______CYA8">[1]Hidden!$G$11</definedName>
    <definedName name="______CYA9">[1]Hidden!$F$11</definedName>
    <definedName name="______LYA12">[1]Hidden!$O$11</definedName>
    <definedName name="_____CYA1">[1]Hidden!$N$11</definedName>
    <definedName name="_____CYA10">[1]Hidden!$E$11</definedName>
    <definedName name="_____CYA11">[1]Hidden!$P$11</definedName>
    <definedName name="_____CYA2">[1]Hidden!$M$11</definedName>
    <definedName name="_____CYA3">[1]Hidden!$L$11</definedName>
    <definedName name="_____CYA4">[1]Hidden!$K$11</definedName>
    <definedName name="_____CYA5">[1]Hidden!$J$11</definedName>
    <definedName name="_____CYA6">[1]Hidden!$I$11</definedName>
    <definedName name="_____CYA7">[1]Hidden!$H$11</definedName>
    <definedName name="_____CYA8">[1]Hidden!$G$11</definedName>
    <definedName name="_____CYA9">[1]Hidden!$F$11</definedName>
    <definedName name="_____LYA12">[1]Hidden!$O$11</definedName>
    <definedName name="____CYA1">[1]Hidden!$N$11</definedName>
    <definedName name="____CYA10">[1]Hidden!$E$11</definedName>
    <definedName name="____CYA11">[1]Hidden!$P$11</definedName>
    <definedName name="____CYA2">[1]Hidden!$M$11</definedName>
    <definedName name="____CYA3">[1]Hidden!$L$11</definedName>
    <definedName name="____CYA4">[1]Hidden!$K$11</definedName>
    <definedName name="____CYA5">[1]Hidden!$J$11</definedName>
    <definedName name="____CYA6">[1]Hidden!$I$11</definedName>
    <definedName name="____CYA7">[1]Hidden!$H$11</definedName>
    <definedName name="____CYA8">[1]Hidden!$G$11</definedName>
    <definedName name="____CYA9">[1]Hidden!$F$11</definedName>
    <definedName name="____LYA12">[1]Hidden!$O$11</definedName>
    <definedName name="___CYA1">[1]Hidden!$N$11</definedName>
    <definedName name="___CYA10">[1]Hidden!$E$11</definedName>
    <definedName name="___CYA11">[1]Hidden!$P$11</definedName>
    <definedName name="___CYA2">[1]Hidden!$M$11</definedName>
    <definedName name="___CYA3">[1]Hidden!$L$11</definedName>
    <definedName name="___CYA4">[1]Hidden!$K$11</definedName>
    <definedName name="___CYA5">[1]Hidden!$J$11</definedName>
    <definedName name="___CYA6">[1]Hidden!$I$11</definedName>
    <definedName name="___CYA7">[1]Hidden!$H$11</definedName>
    <definedName name="___CYA8">[1]Hidden!$G$11</definedName>
    <definedName name="___CYA9">[1]Hidden!$F$11</definedName>
    <definedName name="___LYA12">[1]Hidden!$O$11</definedName>
    <definedName name="__CYA1">[1]Hidden!$N$11</definedName>
    <definedName name="__CYA10">[1]Hidden!$E$11</definedName>
    <definedName name="__CYA11">[1]Hidden!$P$11</definedName>
    <definedName name="__CYA2">[1]Hidden!$M$11</definedName>
    <definedName name="__CYA3">[1]Hidden!$L$11</definedName>
    <definedName name="__CYA4">[1]Hidden!$K$11</definedName>
    <definedName name="__CYA5">[1]Hidden!$J$11</definedName>
    <definedName name="__CYA6">[1]Hidden!$I$11</definedName>
    <definedName name="__CYA7">[1]Hidden!$H$11</definedName>
    <definedName name="__CYA8">[1]Hidden!$G$11</definedName>
    <definedName name="__CYA9">[1]Hidden!$F$11</definedName>
    <definedName name="__LYA12">[1]Hidden!$O$11</definedName>
    <definedName name="_123Graph_g" hidden="1">'[2]#REF'!$F$9:$F$83</definedName>
    <definedName name="_132" hidden="1">[3]XXXXXX!$B$10:$B$10</definedName>
    <definedName name="_132Graph_h" hidden="1">#REF!</definedName>
    <definedName name="_ACT1" localSheetId="1">[4]Hidden!#REF!</definedName>
    <definedName name="_ACT1">[4]Hidden!#REF!</definedName>
    <definedName name="_ACT2" localSheetId="1">[4]Hidden!#REF!</definedName>
    <definedName name="_ACT2">[4]Hidden!#REF!</definedName>
    <definedName name="_ACT3" localSheetId="1">[4]Hidden!#REF!</definedName>
    <definedName name="_ACT3">[4]Hidden!#REF!</definedName>
    <definedName name="_CYA1">[1]Hidden!$N$11</definedName>
    <definedName name="_CYA10">[1]Hidden!$E$11</definedName>
    <definedName name="_CYA11">[1]Hidden!$P$11</definedName>
    <definedName name="_CYA2">[1]Hidden!$M$11</definedName>
    <definedName name="_CYA3">[1]Hidden!$L$11</definedName>
    <definedName name="_CYA4">[1]Hidden!$K$11</definedName>
    <definedName name="_CYA5">[1]Hidden!$J$11</definedName>
    <definedName name="_CYA6">[1]Hidden!$I$11</definedName>
    <definedName name="_CYA7">[1]Hidden!$H$11</definedName>
    <definedName name="_CYA8">[1]Hidden!$G$11</definedName>
    <definedName name="_CYA9">[1]Hidden!$F$11</definedName>
    <definedName name="_Fill" hidden="1">#REF!</definedName>
    <definedName name="_xlnm._FilterDatabase" localSheetId="1" hidden="1">'Gray''s DF Calc'!$A$1:$W$140</definedName>
    <definedName name="_Key1" hidden="1">#REF!</definedName>
    <definedName name="_Key2" hidden="1">'[2]#REF'!$D$12</definedName>
    <definedName name="_key5" hidden="1">[3]XXXXXX!$H$10</definedName>
    <definedName name="_LYA12">[1]Hidden!$O$11</definedName>
    <definedName name="_max" hidden="1">#REF!</definedName>
    <definedName name="_Mon" hidden="1">#REF!</definedName>
    <definedName name="_Order1" hidden="1">255</definedName>
    <definedName name="_Order2" hidden="1">255</definedName>
    <definedName name="_Order3" hidden="1">0</definedName>
    <definedName name="_Sort" hidden="1">#REF!</definedName>
    <definedName name="_Sort1" hidden="1">'[2]#REF'!$A$10:$Z$281</definedName>
    <definedName name="_sort3" hidden="1">[3]XXXXXX!$G$10:$J$11</definedName>
    <definedName name="a">#REF!</definedName>
    <definedName name="ACCT">[4]Hidden!#REF!</definedName>
    <definedName name="ACCT.ConsolSum">[1]Hidden!$Q$11</definedName>
    <definedName name="ACT_CUR" localSheetId="1">[4]Hidden!#REF!</definedName>
    <definedName name="ACT_CUR">[4]Hidden!#REF!</definedName>
    <definedName name="ACT_YTD" localSheetId="1">[4]Hidden!#REF!</definedName>
    <definedName name="ACT_YTD">[4]Hidden!#REF!</definedName>
    <definedName name="AmountCount" localSheetId="1">#REF!</definedName>
    <definedName name="AmountCount">#REF!</definedName>
    <definedName name="AmountCount1">#REF!</definedName>
    <definedName name="AmountTotal" localSheetId="1">#REF!</definedName>
    <definedName name="AmountTotal">#REF!</definedName>
    <definedName name="AmountTotal1">#REF!</definedName>
    <definedName name="BookRev">'[5]Pacific Regulated - Price Out'!$F$50</definedName>
    <definedName name="BookRev_com">'[5]Pacific Regulated - Price Out'!$F$214</definedName>
    <definedName name="BookRev_mfr">'[5]Pacific Regulated - Price Out'!$F$222</definedName>
    <definedName name="BookRev_ro">'[5]Pacific Regulated - Price Out'!$F$282</definedName>
    <definedName name="BookRev_rr">'[5]Pacific Regulated - Price Out'!$F$59</definedName>
    <definedName name="BookRev_yw">'[5]Pacific Regulated - Price Out'!$F$70</definedName>
    <definedName name="BREMAIR_COST_of_SERVICE_STUDY" localSheetId="1">#REF!</definedName>
    <definedName name="BREMAIR_COST_of_SERVICE_STUDY">#REF!</definedName>
    <definedName name="BUD_CUR" localSheetId="1">[4]Hidden!#REF!</definedName>
    <definedName name="BUD_CUR">[4]Hidden!#REF!</definedName>
    <definedName name="BUD_YTD" localSheetId="1">[4]Hidden!#REF!</definedName>
    <definedName name="BUD_YTD">[4]Hidden!#REF!</definedName>
    <definedName name="CalRecyTons">'[6]Recycl Tons, Commodity Value'!$L$23</definedName>
    <definedName name="CheckTotals" localSheetId="1">#REF!</definedName>
    <definedName name="CheckTotals">#REF!</definedName>
    <definedName name="colgroup">[1]Orientation!$G$6</definedName>
    <definedName name="colsegment">[1]Orientation!$F$6</definedName>
    <definedName name="CRCTable" localSheetId="1">#REF!</definedName>
    <definedName name="CRCTable">#REF!</definedName>
    <definedName name="CRCTableOLD" localSheetId="1">#REF!</definedName>
    <definedName name="CRCTableOLD">#REF!</definedName>
    <definedName name="CriteriaType">[7]ControlPanel!$Z$2:$Z$5</definedName>
    <definedName name="CurrentMonth">'[8]38000 Other Rev'!$H$8</definedName>
    <definedName name="Cutomers" localSheetId="1">#REF!</definedName>
    <definedName name="Cutomers">#REF!</definedName>
    <definedName name="_xlnm.Database" localSheetId="1">#REF!</definedName>
    <definedName name="_xlnm.Database">#REF!</definedName>
    <definedName name="Database1" localSheetId="1">#REF!</definedName>
    <definedName name="Database1">#REF!</definedName>
    <definedName name="DateFrom">'[8]38000 Other Rev'!$G$12</definedName>
    <definedName name="DateTo">'[8]38000 Other Rev'!$G$13</definedName>
    <definedName name="DEPT" localSheetId="1">[4]Hidden!#REF!</definedName>
    <definedName name="DEPT">[4]Hidden!#REF!</definedName>
    <definedName name="Dist">[9]Data!$E$3</definedName>
    <definedName name="District">'[10]Vashon BS'!#REF!</definedName>
    <definedName name="DistrictNum" localSheetId="1">#REF!</definedName>
    <definedName name="DistrictNum">#REF!</definedName>
    <definedName name="dOG">#REF!</definedName>
    <definedName name="drlFilter">[1]Settings!$D$27</definedName>
    <definedName name="End" localSheetId="1">'[11]IS-2120'!#REF!</definedName>
    <definedName name="End">#REF!</definedName>
    <definedName name="EntrieShownLimit">'[8]38000 Other Rev'!$D$6</definedName>
    <definedName name="ExcludeIC">'[10]Vashon BS'!#REF!</definedName>
    <definedName name="FBTable" localSheetId="1">#REF!</definedName>
    <definedName name="FBTable">#REF!</definedName>
    <definedName name="FBTableOld" localSheetId="1">#REF!</definedName>
    <definedName name="FBTableOld">#REF!</definedName>
    <definedName name="filter">[1]Settings!$B$14:$H$25</definedName>
    <definedName name="FundsApprPend">[9]Data!#REF!</definedName>
    <definedName name="FundsBudUnbud">[9]Data!#REF!</definedName>
    <definedName name="GLMappingStart" localSheetId="1">#REF!</definedName>
    <definedName name="GLMappingStart">#REF!</definedName>
    <definedName name="GLMappingStart1">#REF!</definedName>
    <definedName name="Import_Range">[9]Data!#REF!</definedName>
    <definedName name="IncomeStmnt" localSheetId="1">#REF!</definedName>
    <definedName name="IncomeStmnt">#REF!</definedName>
    <definedName name="INPUT" localSheetId="1">#REF!</definedName>
    <definedName name="INPUT">#REF!</definedName>
    <definedName name="Insurance" localSheetId="1">#REF!</definedName>
    <definedName name="Insurance">#REF!</definedName>
    <definedName name="Invoice_Start">[9]Invoice_Drill!#REF!</definedName>
    <definedName name="JEDetail" localSheetId="1">#REF!</definedName>
    <definedName name="JEDetail">#REF!</definedName>
    <definedName name="JEDetail1">#REF!</definedName>
    <definedName name="JEType" localSheetId="1">#REF!</definedName>
    <definedName name="JEType">#REF!</definedName>
    <definedName name="JEType1">#REF!</definedName>
    <definedName name="lblBillAreaStatus" localSheetId="1">#REF!</definedName>
    <definedName name="lblBillAreaStatus">#REF!</definedName>
    <definedName name="lblBillCycleStatus" localSheetId="1">#REF!</definedName>
    <definedName name="lblBillCycleStatus">#REF!</definedName>
    <definedName name="lblCategoryStatus" localSheetId="1">#REF!</definedName>
    <definedName name="lblCategoryStatus">#REF!</definedName>
    <definedName name="lblCompanyStatus" localSheetId="1">#REF!</definedName>
    <definedName name="lblCompanyStatus">#REF!</definedName>
    <definedName name="lblDatabaseStatus" localSheetId="1">#REF!</definedName>
    <definedName name="lblDatabaseStatus">#REF!</definedName>
    <definedName name="lblPullStatus" localSheetId="1">#REF!</definedName>
    <definedName name="lblPullStatus">#REF!</definedName>
    <definedName name="lllllllllllllllllllll" localSheetId="1">#REF!</definedName>
    <definedName name="lllllllllllllllllllll">#REF!</definedName>
    <definedName name="MainDataEnd" localSheetId="1">#REF!</definedName>
    <definedName name="MainDataEnd">#REF!</definedName>
    <definedName name="MainDataStart" localSheetId="1">#REF!</definedName>
    <definedName name="MainDataStart">#REF!</definedName>
    <definedName name="MapKeyStart" localSheetId="1">#REF!</definedName>
    <definedName name="MapKeyStart">#REF!</definedName>
    <definedName name="master_def" localSheetId="1">'[11]IS-2120'!#REF!</definedName>
    <definedName name="master_def">#REF!</definedName>
    <definedName name="MemoAttachment" localSheetId="1">#REF!</definedName>
    <definedName name="MemoAttachment">#REF!</definedName>
    <definedName name="MetaSet">[1]Orientation!$C$22</definedName>
    <definedName name="MonthList">'[9]Lookup Tables'!$A$1:$A$13</definedName>
    <definedName name="NewOnlyOrg">#N/A</definedName>
    <definedName name="NOTES" localSheetId="1">#REF!</definedName>
    <definedName name="NOTES">#REF!</definedName>
    <definedName name="NR" localSheetId="1">#REF!</definedName>
    <definedName name="NR">#REF!</definedName>
    <definedName name="OfficerSalary">#N/A</definedName>
    <definedName name="OffsetAcctBil" localSheetId="1">[12]JEexport!$L$10</definedName>
    <definedName name="OffsetAcctBil">[13]JEexport!$L$10</definedName>
    <definedName name="OffsetAcctPmt" localSheetId="1">[12]JEexport!$L$9</definedName>
    <definedName name="OffsetAcctPmt">[13]JEexport!$L$9</definedName>
    <definedName name="Org11_13">#N/A</definedName>
    <definedName name="Org7_10">#N/A</definedName>
    <definedName name="p" localSheetId="1">#REF!</definedName>
    <definedName name="p">#REF!</definedName>
    <definedName name="PAGE_1" localSheetId="1">#REF!</definedName>
    <definedName name="PAGE_1">#REF!</definedName>
    <definedName name="pBatchID" localSheetId="1">#REF!</definedName>
    <definedName name="pBatchID">#REF!</definedName>
    <definedName name="pBillArea" localSheetId="1">#REF!</definedName>
    <definedName name="pBillArea">#REF!</definedName>
    <definedName name="pBillCycle" localSheetId="1">#REF!</definedName>
    <definedName name="pBillCycle">#REF!</definedName>
    <definedName name="pCategory" localSheetId="1">#REF!</definedName>
    <definedName name="pCategory">#REF!</definedName>
    <definedName name="pCompany" localSheetId="1">#REF!</definedName>
    <definedName name="pCompany">#REF!</definedName>
    <definedName name="pCustomerNumber" localSheetId="1">#REF!</definedName>
    <definedName name="pCustomerNumber">#REF!</definedName>
    <definedName name="pDatabase" localSheetId="1">#REF!</definedName>
    <definedName name="pDatabase">#REF!</definedName>
    <definedName name="pEndPostDate" localSheetId="1">#REF!</definedName>
    <definedName name="pEndPostDate">#REF!</definedName>
    <definedName name="Period" localSheetId="1">#REF!</definedName>
    <definedName name="Period">#REF!</definedName>
    <definedName name="pMonth" localSheetId="1">#REF!</definedName>
    <definedName name="pMonth">#REF!</definedName>
    <definedName name="pOnlyShowLastTranx" localSheetId="1">#REF!</definedName>
    <definedName name="pOnlyShowLastTranx">#REF!</definedName>
    <definedName name="primtbl">[1]Orientation!$C$23</definedName>
    <definedName name="_xlnm.Print_Area" localSheetId="1">'Gray''s DF Calc'!$A$1:$W$165</definedName>
    <definedName name="_xlnm.Print_Area">#REF!</definedName>
    <definedName name="Print_Area_MI" localSheetId="1">#REF!</definedName>
    <definedName name="Print_Area_MI">#REF!</definedName>
    <definedName name="Print_Area1" localSheetId="1">#REF!</definedName>
    <definedName name="Print_Area1">#REF!</definedName>
    <definedName name="Print_Area2" localSheetId="1">#REF!</definedName>
    <definedName name="Print_Area2">#REF!</definedName>
    <definedName name="Print_Area3" localSheetId="1">#REF!</definedName>
    <definedName name="Print_Area3">#REF!</definedName>
    <definedName name="Print_Area5" localSheetId="1">#REF!</definedName>
    <definedName name="Print_Area5">#REF!</definedName>
    <definedName name="_xlnm.Print_Titles" localSheetId="1">'Gray''s DF Calc'!$1:$6</definedName>
    <definedName name="_xlnm.Print_Titles" localSheetId="2">'Proposed Rates'!$1:$6</definedName>
    <definedName name="Print1" localSheetId="1">#REF!</definedName>
    <definedName name="Print1">#REF!</definedName>
    <definedName name="Print2" localSheetId="1">#REF!</definedName>
    <definedName name="Print2">#REF!</definedName>
    <definedName name="Print5" localSheetId="1">#REF!</definedName>
    <definedName name="Print5">#REF!</definedName>
    <definedName name="ProRev">'[5]Pacific Regulated - Price Out'!$M$49</definedName>
    <definedName name="ProRev_com">'[5]Pacific Regulated - Price Out'!$M$213</definedName>
    <definedName name="ProRev_mfr">'[5]Pacific Regulated - Price Out'!$M$221</definedName>
    <definedName name="ProRev_ro">'[5]Pacific Regulated - Price Out'!$M$281</definedName>
    <definedName name="ProRev_rr">'[5]Pacific Regulated - Price Out'!$M$58</definedName>
    <definedName name="ProRev_yw">'[5]Pacific Regulated - Price Out'!$M$69</definedName>
    <definedName name="pServer" localSheetId="1">#REF!</definedName>
    <definedName name="pServer">#REF!</definedName>
    <definedName name="pServiceCode" localSheetId="1">#REF!</definedName>
    <definedName name="pServiceCode">#REF!</definedName>
    <definedName name="pShowAllUnposted" localSheetId="1">#REF!</definedName>
    <definedName name="pShowAllUnposted">#REF!</definedName>
    <definedName name="pShowCustomerDetail" localSheetId="1">#REF!</definedName>
    <definedName name="pShowCustomerDetail">#REF!</definedName>
    <definedName name="pSortOption" localSheetId="1">#REF!</definedName>
    <definedName name="pSortOption">#REF!</definedName>
    <definedName name="pStartPostDate" localSheetId="1">#REF!</definedName>
    <definedName name="pStartPostDate">#REF!</definedName>
    <definedName name="pTransType" localSheetId="1">#REF!</definedName>
    <definedName name="pTransType">#REF!</definedName>
    <definedName name="RCW_81.04.080">#N/A</definedName>
    <definedName name="RecyDisposal">#N/A</definedName>
    <definedName name="RelatedSalary">#N/A</definedName>
    <definedName name="report_type">[1]Orientation!$C$24</definedName>
    <definedName name="ReportNames" localSheetId="1">[14]ControlPanel!$S$2:$S$16</definedName>
    <definedName name="ReportNames">[7]ControlPanel!$X$2:$X$8</definedName>
    <definedName name="ReportVersion">[1]Settings!$D$5</definedName>
    <definedName name="RetainedEarnings" localSheetId="1">#REF!</definedName>
    <definedName name="RetainedEarnings">#REF!</definedName>
    <definedName name="RevCust" localSheetId="1">[15]RevenuesCust!#REF!</definedName>
    <definedName name="RevCust">[15]RevenuesCust!#REF!</definedName>
    <definedName name="RevCustomer" localSheetId="1">#REF!</definedName>
    <definedName name="RevCustomer">#REF!</definedName>
    <definedName name="rngCreateLog">[1]Delivery!$B$12</definedName>
    <definedName name="rngFilePassword">[1]Delivery!$B$6</definedName>
    <definedName name="rngSourceTab">[1]Delivery!$E$8</definedName>
    <definedName name="rowgroup">[1]Orientation!$C$17</definedName>
    <definedName name="rowsegment">[1]Orientation!$B$17</definedName>
    <definedName name="Sequential_Group">[1]Settings!$J$6</definedName>
    <definedName name="Sequential_Segment">[1]Settings!$I$6</definedName>
    <definedName name="Sequential_sort">[1]Settings!$I$10:$J$11</definedName>
    <definedName name="sortcol" localSheetId="1">'[11]IS-2120'!#REF!</definedName>
    <definedName name="sortcol">#REF!</definedName>
    <definedName name="sSRCDate" localSheetId="1">'[16]Feb''12 FAR Data'!#REF!</definedName>
    <definedName name="sSRCDate">'[16]Feb''12 FAR Data'!#REF!</definedName>
    <definedName name="Supplemental_filter">[1]Settings!$C$31</definedName>
    <definedName name="SWDisposal">#N/A</definedName>
    <definedName name="System">[17]BS_Close!$V$8</definedName>
    <definedName name="TemplateEnd" localSheetId="1">#REF!</definedName>
    <definedName name="TemplateEnd">#REF!</definedName>
    <definedName name="TemplateStart" localSheetId="1">#REF!</definedName>
    <definedName name="TemplateStart">#REF!</definedName>
    <definedName name="TheTable" localSheetId="1">#REF!</definedName>
    <definedName name="TheTable">#REF!</definedName>
    <definedName name="TheTableOLD" localSheetId="1">#REF!</definedName>
    <definedName name="TheTableOLD">#REF!</definedName>
    <definedName name="timeseries">[1]Orientation!$B$6:$C$13</definedName>
    <definedName name="Total_Comm">'[6]Tariff Rate Sheet'!$L$214</definedName>
    <definedName name="Total_DB">'[6]Tariff Rate Sheet'!$L$278</definedName>
    <definedName name="Total_Resi">'[6]Tariff Rate Sheet'!$L$107</definedName>
    <definedName name="Transactions" localSheetId="1">#REF!</definedName>
    <definedName name="Transactions">#REF!</definedName>
    <definedName name="Version">[9]Data!#REF!</definedName>
    <definedName name="WTable" localSheetId="1">#REF!</definedName>
    <definedName name="WTable">#REF!</definedName>
    <definedName name="WTableOld" localSheetId="1">#REF!</definedName>
    <definedName name="WTableOld">#REF!</definedName>
    <definedName name="ww" localSheetId="1">#REF!</definedName>
    <definedName name="ww">#REF!</definedName>
    <definedName name="xperiod">[1]Orientation!$G$15</definedName>
    <definedName name="xtabin" localSheetId="1">[4]Hidden!#REF!</definedName>
    <definedName name="xtabin">[4]Hidden!#REF!</definedName>
    <definedName name="xx" localSheetId="1">#REF!</definedName>
    <definedName name="xx">#REF!</definedName>
    <definedName name="xxx" localSheetId="1">#REF!</definedName>
    <definedName name="xxx">#REF!</definedName>
    <definedName name="xxxx" localSheetId="1">#REF!</definedName>
    <definedName name="xxxx">#REF!</definedName>
    <definedName name="YearMonth">'[10]Vashon BS'!#REF!</definedName>
    <definedName name="YWMedWasteDisp">#N/A</definedName>
    <definedName name="yy">#REF!</definedName>
  </definedNames>
  <calcPr calcId="152511" concurrentManualCount="4"/>
</workbook>
</file>

<file path=xl/calcChain.xml><?xml version="1.0" encoding="utf-8"?>
<calcChain xmlns="http://schemas.openxmlformats.org/spreadsheetml/2006/main">
  <c r="G41" i="17" l="1"/>
  <c r="X137" i="17" l="1"/>
  <c r="X138" i="17"/>
  <c r="G109" i="17" l="1"/>
  <c r="G108" i="17"/>
  <c r="M120" i="17"/>
  <c r="M119" i="17"/>
  <c r="M115" i="17"/>
  <c r="M114" i="17"/>
  <c r="G120" i="17"/>
  <c r="G119" i="17"/>
  <c r="G115" i="17"/>
  <c r="G114" i="17"/>
  <c r="G107" i="17"/>
  <c r="G106" i="17"/>
  <c r="G105" i="17"/>
  <c r="G45" i="17"/>
  <c r="G37" i="17"/>
  <c r="G36" i="17"/>
  <c r="G35" i="17"/>
  <c r="G31" i="17"/>
  <c r="G30" i="17"/>
  <c r="G26" i="17"/>
  <c r="M151" i="17" l="1"/>
  <c r="M150" i="17"/>
  <c r="M149" i="17"/>
  <c r="M148" i="17"/>
  <c r="M147" i="17"/>
  <c r="M146" i="17"/>
  <c r="M145" i="17"/>
  <c r="M144" i="17"/>
  <c r="G151" i="17"/>
  <c r="G150" i="17"/>
  <c r="G149" i="17"/>
  <c r="G148" i="17"/>
  <c r="G147" i="17"/>
  <c r="G146" i="17"/>
  <c r="G145" i="17"/>
  <c r="G144" i="17"/>
  <c r="G154" i="17"/>
  <c r="G153" i="17"/>
  <c r="G152" i="17"/>
  <c r="M134" i="17" l="1"/>
  <c r="M135" i="17"/>
  <c r="M104" i="17"/>
  <c r="M103" i="17"/>
  <c r="M102" i="17"/>
  <c r="M122" i="17"/>
  <c r="M121" i="17"/>
  <c r="M118" i="17"/>
  <c r="M117" i="17"/>
  <c r="M116" i="17"/>
  <c r="M113" i="17"/>
  <c r="M112" i="17"/>
  <c r="M111" i="17"/>
  <c r="M110" i="17"/>
  <c r="M101" i="17"/>
  <c r="M99" i="17"/>
  <c r="M100" i="17"/>
  <c r="M98" i="17"/>
  <c r="M97" i="17"/>
  <c r="M95" i="17"/>
  <c r="M93" i="17"/>
  <c r="M96" i="17"/>
  <c r="M94" i="17"/>
  <c r="M92" i="17"/>
  <c r="M91" i="17"/>
  <c r="M89" i="17"/>
  <c r="M87" i="17"/>
  <c r="M90" i="17"/>
  <c r="M88" i="17"/>
  <c r="M86" i="17"/>
  <c r="M85" i="17"/>
  <c r="M83" i="17"/>
  <c r="M84" i="17"/>
  <c r="M82" i="17"/>
  <c r="G100" i="17"/>
  <c r="G98" i="17"/>
  <c r="G99" i="17"/>
  <c r="G96" i="17"/>
  <c r="G94" i="17"/>
  <c r="G92" i="17"/>
  <c r="G90" i="17"/>
  <c r="G88" i="17"/>
  <c r="G86" i="17"/>
  <c r="G87" i="17"/>
  <c r="G84" i="17"/>
  <c r="G83" i="17"/>
  <c r="G82" i="17"/>
  <c r="M81" i="17"/>
  <c r="M80" i="17"/>
  <c r="G80" i="17"/>
  <c r="G81" i="17"/>
  <c r="G78" i="17"/>
  <c r="M78" i="17"/>
  <c r="G76" i="17"/>
  <c r="M76" i="17"/>
  <c r="G74" i="17"/>
  <c r="M74" i="17"/>
  <c r="G72" i="17"/>
  <c r="M72" i="17"/>
  <c r="G70" i="17"/>
  <c r="M70" i="17"/>
  <c r="G68" i="17"/>
  <c r="M68" i="17"/>
  <c r="G65" i="17"/>
  <c r="M65" i="17"/>
  <c r="G63" i="17"/>
  <c r="M63" i="17"/>
  <c r="G61" i="17"/>
  <c r="M61" i="17"/>
  <c r="M67" i="17"/>
  <c r="M69" i="17"/>
  <c r="M71" i="17"/>
  <c r="M73" i="17"/>
  <c r="M75" i="17"/>
  <c r="M77" i="17"/>
  <c r="M79" i="17"/>
  <c r="M64" i="17"/>
  <c r="M66" i="17"/>
  <c r="M62" i="17"/>
  <c r="M133" i="17"/>
  <c r="M132" i="17"/>
  <c r="M131" i="17"/>
  <c r="M130" i="17"/>
  <c r="M129" i="17"/>
  <c r="M128" i="17"/>
  <c r="M127" i="17"/>
  <c r="M136" i="17" l="1"/>
  <c r="G136" i="17"/>
  <c r="G135" i="17"/>
  <c r="G134" i="17"/>
  <c r="G133" i="17"/>
  <c r="G132" i="17"/>
  <c r="G131" i="17"/>
  <c r="G130" i="17"/>
  <c r="G129" i="17"/>
  <c r="G128" i="17"/>
  <c r="G127" i="17"/>
  <c r="G126" i="17"/>
  <c r="G125" i="17"/>
  <c r="G124" i="17"/>
  <c r="G123" i="17"/>
  <c r="G122" i="17"/>
  <c r="G121" i="17"/>
  <c r="G118" i="17"/>
  <c r="G117" i="17"/>
  <c r="G116" i="17"/>
  <c r="G113" i="17"/>
  <c r="G112" i="17"/>
  <c r="G111" i="17"/>
  <c r="G110" i="17"/>
  <c r="G104" i="17"/>
  <c r="G103" i="17"/>
  <c r="G102" i="17"/>
  <c r="G101" i="17"/>
  <c r="G97" i="17"/>
  <c r="G95" i="17"/>
  <c r="G93" i="17"/>
  <c r="G91" i="17"/>
  <c r="G89" i="17"/>
  <c r="G85" i="17"/>
  <c r="G79" i="17"/>
  <c r="G77" i="17"/>
  <c r="G75" i="17"/>
  <c r="G73" i="17"/>
  <c r="G71" i="17"/>
  <c r="G69" i="17"/>
  <c r="G67" i="17"/>
  <c r="G66" i="17"/>
  <c r="G64" i="17"/>
  <c r="G62" i="17"/>
  <c r="M37" i="17"/>
  <c r="M33" i="17"/>
  <c r="M54" i="17"/>
  <c r="G54" i="17"/>
  <c r="M49" i="17"/>
  <c r="M50" i="17"/>
  <c r="M55" i="17"/>
  <c r="M59" i="17"/>
  <c r="M51" i="17"/>
  <c r="M53" i="17"/>
  <c r="M52" i="17"/>
  <c r="M56" i="17"/>
  <c r="M58" i="17"/>
  <c r="M57" i="17"/>
  <c r="M45" i="17"/>
  <c r="M42" i="17"/>
  <c r="M44" i="17"/>
  <c r="M41" i="17"/>
  <c r="M40" i="17"/>
  <c r="M35" i="17"/>
  <c r="M36" i="17"/>
  <c r="M34" i="17"/>
  <c r="M32" i="17"/>
  <c r="M31" i="17"/>
  <c r="M30" i="17"/>
  <c r="M26" i="17"/>
  <c r="M27" i="17"/>
  <c r="M23" i="17"/>
  <c r="M11" i="17"/>
  <c r="M10" i="17"/>
  <c r="M13" i="17"/>
  <c r="M39" i="17"/>
  <c r="M46" i="17"/>
  <c r="M48" i="17"/>
  <c r="M38" i="17"/>
  <c r="G46" i="17"/>
  <c r="M47" i="17"/>
  <c r="M43" i="17"/>
  <c r="M24" i="17"/>
  <c r="M25" i="17"/>
  <c r="M29" i="17"/>
  <c r="M28" i="17"/>
  <c r="M12" i="17"/>
  <c r="M22" i="17"/>
  <c r="M21" i="17"/>
  <c r="M20" i="17"/>
  <c r="M19" i="17"/>
  <c r="M18" i="17"/>
  <c r="M16" i="17"/>
  <c r="M17" i="17"/>
  <c r="M14" i="17"/>
  <c r="M15" i="17"/>
  <c r="M9" i="17"/>
  <c r="M8" i="17"/>
  <c r="M7" i="17"/>
  <c r="G56" i="17"/>
  <c r="G55" i="17"/>
  <c r="G53" i="17"/>
  <c r="G52" i="17"/>
  <c r="G51" i="17"/>
  <c r="G50" i="17"/>
  <c r="G59" i="17"/>
  <c r="G58" i="17"/>
  <c r="G57" i="17"/>
  <c r="G49" i="17"/>
  <c r="G48" i="17"/>
  <c r="G47" i="17"/>
  <c r="G44" i="17"/>
  <c r="G43" i="17"/>
  <c r="G42" i="17"/>
  <c r="G40" i="17"/>
  <c r="G39" i="17"/>
  <c r="G38" i="17"/>
  <c r="G34" i="17"/>
  <c r="G33" i="17"/>
  <c r="G32" i="17"/>
  <c r="G29" i="17"/>
  <c r="G28" i="17"/>
  <c r="G27" i="17"/>
  <c r="G25" i="17"/>
  <c r="G24" i="17"/>
  <c r="G23" i="17"/>
  <c r="G20" i="17"/>
  <c r="G19" i="17"/>
  <c r="G18" i="17"/>
  <c r="G17" i="17"/>
  <c r="G16" i="17"/>
  <c r="G22" i="17"/>
  <c r="G21" i="17"/>
  <c r="G15" i="17"/>
  <c r="G14" i="17"/>
  <c r="G13" i="17"/>
  <c r="G12" i="17"/>
  <c r="G11" i="17"/>
  <c r="G10" i="17"/>
  <c r="G9" i="17"/>
  <c r="G8" i="17"/>
  <c r="G7" i="17"/>
  <c r="B36" i="16" l="1"/>
  <c r="B35" i="16"/>
  <c r="B28" i="16"/>
  <c r="F21" i="16"/>
  <c r="B24" i="16" s="1"/>
  <c r="B21" i="16"/>
  <c r="B25" i="16" s="1"/>
  <c r="G20" i="16"/>
  <c r="C20" i="16"/>
  <c r="G19" i="16"/>
  <c r="C19" i="16"/>
  <c r="G18" i="16"/>
  <c r="C18" i="16"/>
  <c r="C35" i="16" l="1"/>
  <c r="G21" i="16"/>
  <c r="C21" i="16"/>
  <c r="B26" i="16"/>
  <c r="B29" i="16" s="1"/>
  <c r="C36" i="16"/>
  <c r="E36" i="16" s="1"/>
  <c r="E35" i="16"/>
  <c r="D36" i="16" l="1"/>
  <c r="D35" i="16"/>
  <c r="D162" i="17" l="1"/>
  <c r="D163" i="17" s="1"/>
  <c r="B60" i="4"/>
  <c r="B95" i="14"/>
  <c r="M154" i="17" s="1"/>
  <c r="B94" i="14"/>
  <c r="M153" i="17" s="1"/>
  <c r="B93" i="14"/>
  <c r="M126" i="17" s="1"/>
  <c r="B92" i="14"/>
  <c r="M152" i="17" s="1"/>
  <c r="B91" i="14"/>
  <c r="M125" i="17" s="1"/>
  <c r="B90" i="14"/>
  <c r="M124" i="17" s="1"/>
  <c r="B89" i="14"/>
  <c r="M123" i="17" s="1"/>
  <c r="O199" i="15" l="1"/>
  <c r="N199" i="15"/>
  <c r="M199" i="15"/>
  <c r="L199" i="15"/>
  <c r="K199" i="15"/>
  <c r="J199" i="15"/>
  <c r="I199" i="15"/>
  <c r="H199" i="15"/>
  <c r="G199" i="15"/>
  <c r="F199" i="15"/>
  <c r="P197" i="15"/>
  <c r="P196" i="15"/>
  <c r="P195" i="15"/>
  <c r="P194" i="15"/>
  <c r="P193" i="15"/>
  <c r="P192" i="15"/>
  <c r="P191" i="15"/>
  <c r="P190" i="15"/>
  <c r="P189" i="15"/>
  <c r="P188" i="15"/>
  <c r="P187" i="15"/>
  <c r="P186" i="15"/>
  <c r="P185" i="15"/>
  <c r="P184" i="15"/>
  <c r="P183" i="15"/>
  <c r="P182" i="15"/>
  <c r="P181" i="15"/>
  <c r="P180" i="15"/>
  <c r="P179" i="15"/>
  <c r="P178" i="15"/>
  <c r="P177" i="15"/>
  <c r="P176" i="15"/>
  <c r="P175" i="15"/>
  <c r="P174" i="15"/>
  <c r="P173" i="15"/>
  <c r="P172" i="15"/>
  <c r="P171" i="15"/>
  <c r="P170" i="15"/>
  <c r="P169" i="15"/>
  <c r="P168" i="15"/>
  <c r="AA167" i="15"/>
  <c r="Z167" i="15"/>
  <c r="Y167" i="15"/>
  <c r="X167" i="15"/>
  <c r="W167" i="15"/>
  <c r="V167" i="15"/>
  <c r="U167" i="15"/>
  <c r="T167" i="15"/>
  <c r="S167" i="15"/>
  <c r="R167" i="15"/>
  <c r="P167" i="15"/>
  <c r="AA166" i="15"/>
  <c r="Z166" i="15"/>
  <c r="Y166" i="15"/>
  <c r="X166" i="15"/>
  <c r="W166" i="15"/>
  <c r="V166" i="15"/>
  <c r="U166" i="15"/>
  <c r="T166" i="15"/>
  <c r="S166" i="15"/>
  <c r="R166" i="15"/>
  <c r="P166" i="15"/>
  <c r="AA165" i="15"/>
  <c r="Z165" i="15"/>
  <c r="Y165" i="15"/>
  <c r="X165" i="15"/>
  <c r="W165" i="15"/>
  <c r="V165" i="15"/>
  <c r="U165" i="15"/>
  <c r="T165" i="15"/>
  <c r="S165" i="15"/>
  <c r="R165" i="15"/>
  <c r="P165" i="15"/>
  <c r="AA164" i="15"/>
  <c r="Z164" i="15"/>
  <c r="Y164" i="15"/>
  <c r="X164" i="15"/>
  <c r="W164" i="15"/>
  <c r="V164" i="15"/>
  <c r="U164" i="15"/>
  <c r="T164" i="15"/>
  <c r="S164" i="15"/>
  <c r="R164" i="15"/>
  <c r="P164" i="15"/>
  <c r="AA163" i="15"/>
  <c r="Z163" i="15"/>
  <c r="Y163" i="15"/>
  <c r="X163" i="15"/>
  <c r="W163" i="15"/>
  <c r="V163" i="15"/>
  <c r="U163" i="15"/>
  <c r="T163" i="15"/>
  <c r="S163" i="15"/>
  <c r="R163" i="15"/>
  <c r="P163" i="15"/>
  <c r="AA162" i="15"/>
  <c r="Z162" i="15"/>
  <c r="Y162" i="15"/>
  <c r="X162" i="15"/>
  <c r="W162" i="15"/>
  <c r="V162" i="15"/>
  <c r="U162" i="15"/>
  <c r="T162" i="15"/>
  <c r="S162" i="15"/>
  <c r="R162" i="15"/>
  <c r="P162" i="15"/>
  <c r="AA161" i="15"/>
  <c r="Z161" i="15"/>
  <c r="Y161" i="15"/>
  <c r="X161" i="15"/>
  <c r="W161" i="15"/>
  <c r="V161" i="15"/>
  <c r="U161" i="15"/>
  <c r="T161" i="15"/>
  <c r="S161" i="15"/>
  <c r="R161" i="15"/>
  <c r="P161" i="15"/>
  <c r="AA160" i="15"/>
  <c r="Z160" i="15"/>
  <c r="Y160" i="15"/>
  <c r="X160" i="15"/>
  <c r="W160" i="15"/>
  <c r="V160" i="15"/>
  <c r="U160" i="15"/>
  <c r="T160" i="15"/>
  <c r="S160" i="15"/>
  <c r="R160" i="15"/>
  <c r="P160" i="15"/>
  <c r="AA159" i="15"/>
  <c r="Z159" i="15"/>
  <c r="Y159" i="15"/>
  <c r="X159" i="15"/>
  <c r="W159" i="15"/>
  <c r="V159" i="15"/>
  <c r="U159" i="15"/>
  <c r="T159" i="15"/>
  <c r="S159" i="15"/>
  <c r="R159" i="15"/>
  <c r="P159" i="15"/>
  <c r="AA158" i="15"/>
  <c r="Z158" i="15"/>
  <c r="Y158" i="15"/>
  <c r="X158" i="15"/>
  <c r="W158" i="15"/>
  <c r="V158" i="15"/>
  <c r="U158" i="15"/>
  <c r="T158" i="15"/>
  <c r="S158" i="15"/>
  <c r="R158" i="15"/>
  <c r="P158" i="15"/>
  <c r="AA157" i="15"/>
  <c r="Z157" i="15"/>
  <c r="Y157" i="15"/>
  <c r="X157" i="15"/>
  <c r="W157" i="15"/>
  <c r="V157" i="15"/>
  <c r="U157" i="15"/>
  <c r="T157" i="15"/>
  <c r="S157" i="15"/>
  <c r="R157" i="15"/>
  <c r="P157" i="15"/>
  <c r="AA156" i="15"/>
  <c r="Z156" i="15"/>
  <c r="Y156" i="15"/>
  <c r="X156" i="15"/>
  <c r="W156" i="15"/>
  <c r="V156" i="15"/>
  <c r="U156" i="15"/>
  <c r="T156" i="15"/>
  <c r="S156" i="15"/>
  <c r="R156" i="15"/>
  <c r="P156" i="15"/>
  <c r="AA155" i="15"/>
  <c r="Z155" i="15"/>
  <c r="Y155" i="15"/>
  <c r="X155" i="15"/>
  <c r="W155" i="15"/>
  <c r="V155" i="15"/>
  <c r="U155" i="15"/>
  <c r="T155" i="15"/>
  <c r="S155" i="15"/>
  <c r="R155" i="15"/>
  <c r="P155" i="15"/>
  <c r="AA154" i="15"/>
  <c r="Z154" i="15"/>
  <c r="Y154" i="15"/>
  <c r="X154" i="15"/>
  <c r="W154" i="15"/>
  <c r="V154" i="15"/>
  <c r="U154" i="15"/>
  <c r="T154" i="15"/>
  <c r="S154" i="15"/>
  <c r="R154" i="15"/>
  <c r="P154" i="15"/>
  <c r="AA153" i="15"/>
  <c r="Z153" i="15"/>
  <c r="Y153" i="15"/>
  <c r="X153" i="15"/>
  <c r="W153" i="15"/>
  <c r="V153" i="15"/>
  <c r="U153" i="15"/>
  <c r="T153" i="15"/>
  <c r="S153" i="15"/>
  <c r="R153" i="15"/>
  <c r="P153" i="15"/>
  <c r="AA152" i="15"/>
  <c r="Z152" i="15"/>
  <c r="Y152" i="15"/>
  <c r="X152" i="15"/>
  <c r="W152" i="15"/>
  <c r="V152" i="15"/>
  <c r="U152" i="15"/>
  <c r="T152" i="15"/>
  <c r="S152" i="15"/>
  <c r="R152" i="15"/>
  <c r="P152" i="15"/>
  <c r="AA151" i="15"/>
  <c r="Z151" i="15"/>
  <c r="Y151" i="15"/>
  <c r="X151" i="15"/>
  <c r="W151" i="15"/>
  <c r="V151" i="15"/>
  <c r="U151" i="15"/>
  <c r="T151" i="15"/>
  <c r="S151" i="15"/>
  <c r="R151" i="15"/>
  <c r="P151" i="15"/>
  <c r="AA150" i="15"/>
  <c r="Z150" i="15"/>
  <c r="Y150" i="15"/>
  <c r="X150" i="15"/>
  <c r="W150" i="15"/>
  <c r="V150" i="15"/>
  <c r="U150" i="15"/>
  <c r="T150" i="15"/>
  <c r="S150" i="15"/>
  <c r="R150" i="15"/>
  <c r="P150" i="15"/>
  <c r="AA149" i="15"/>
  <c r="Z149" i="15"/>
  <c r="Y149" i="15"/>
  <c r="X149" i="15"/>
  <c r="W149" i="15"/>
  <c r="V149" i="15"/>
  <c r="U149" i="15"/>
  <c r="T149" i="15"/>
  <c r="S149" i="15"/>
  <c r="R149" i="15"/>
  <c r="P149" i="15"/>
  <c r="AA148" i="15"/>
  <c r="Z148" i="15"/>
  <c r="Y148" i="15"/>
  <c r="X148" i="15"/>
  <c r="W148" i="15"/>
  <c r="V148" i="15"/>
  <c r="U148" i="15"/>
  <c r="T148" i="15"/>
  <c r="S148" i="15"/>
  <c r="R148" i="15"/>
  <c r="P148" i="15"/>
  <c r="AA147" i="15"/>
  <c r="Z147" i="15"/>
  <c r="Y147" i="15"/>
  <c r="X147" i="15"/>
  <c r="W147" i="15"/>
  <c r="V147" i="15"/>
  <c r="U147" i="15"/>
  <c r="T147" i="15"/>
  <c r="S147" i="15"/>
  <c r="R147" i="15"/>
  <c r="P147" i="15"/>
  <c r="AA146" i="15"/>
  <c r="Z146" i="15"/>
  <c r="Y146" i="15"/>
  <c r="X146" i="15"/>
  <c r="W146" i="15"/>
  <c r="V146" i="15"/>
  <c r="U146" i="15"/>
  <c r="T146" i="15"/>
  <c r="S146" i="15"/>
  <c r="R146" i="15"/>
  <c r="P146" i="15"/>
  <c r="AA145" i="15"/>
  <c r="Z145" i="15"/>
  <c r="Y145" i="15"/>
  <c r="X145" i="15"/>
  <c r="W145" i="15"/>
  <c r="V145" i="15"/>
  <c r="U145" i="15"/>
  <c r="T145" i="15"/>
  <c r="S145" i="15"/>
  <c r="R145" i="15"/>
  <c r="P145" i="15"/>
  <c r="AA144" i="15"/>
  <c r="Z144" i="15"/>
  <c r="Y144" i="15"/>
  <c r="X144" i="15"/>
  <c r="W144" i="15"/>
  <c r="V144" i="15"/>
  <c r="U144" i="15"/>
  <c r="T144" i="15"/>
  <c r="S144" i="15"/>
  <c r="R144" i="15"/>
  <c r="P144" i="15"/>
  <c r="AA143" i="15"/>
  <c r="Z143" i="15"/>
  <c r="Y143" i="15"/>
  <c r="X143" i="15"/>
  <c r="W143" i="15"/>
  <c r="V143" i="15"/>
  <c r="U143" i="15"/>
  <c r="T143" i="15"/>
  <c r="S143" i="15"/>
  <c r="R143" i="15"/>
  <c r="P143" i="15"/>
  <c r="AA142" i="15"/>
  <c r="Z142" i="15"/>
  <c r="Y142" i="15"/>
  <c r="X142" i="15"/>
  <c r="W142" i="15"/>
  <c r="V142" i="15"/>
  <c r="U142" i="15"/>
  <c r="T142" i="15"/>
  <c r="S142" i="15"/>
  <c r="R142" i="15"/>
  <c r="P142" i="15"/>
  <c r="AA141" i="15"/>
  <c r="Z141" i="15"/>
  <c r="Y141" i="15"/>
  <c r="X141" i="15"/>
  <c r="W141" i="15"/>
  <c r="V141" i="15"/>
  <c r="U141" i="15"/>
  <c r="T141" i="15"/>
  <c r="S141" i="15"/>
  <c r="R141" i="15"/>
  <c r="P141" i="15"/>
  <c r="AA140" i="15"/>
  <c r="Z140" i="15"/>
  <c r="Y140" i="15"/>
  <c r="X140" i="15"/>
  <c r="W140" i="15"/>
  <c r="V140" i="15"/>
  <c r="U140" i="15"/>
  <c r="T140" i="15"/>
  <c r="S140" i="15"/>
  <c r="R140" i="15"/>
  <c r="P140" i="15"/>
  <c r="AA139" i="15"/>
  <c r="Z139" i="15"/>
  <c r="Y139" i="15"/>
  <c r="X139" i="15"/>
  <c r="W139" i="15"/>
  <c r="V139" i="15"/>
  <c r="U139" i="15"/>
  <c r="T139" i="15"/>
  <c r="S139" i="15"/>
  <c r="R139" i="15"/>
  <c r="P139" i="15"/>
  <c r="AA138" i="15"/>
  <c r="Z138" i="15"/>
  <c r="Y138" i="15"/>
  <c r="X138" i="15"/>
  <c r="W138" i="15"/>
  <c r="V138" i="15"/>
  <c r="U138" i="15"/>
  <c r="T138" i="15"/>
  <c r="S138" i="15"/>
  <c r="R138" i="15"/>
  <c r="P138" i="15"/>
  <c r="AA137" i="15"/>
  <c r="Z137" i="15"/>
  <c r="Y137" i="15"/>
  <c r="X137" i="15"/>
  <c r="W137" i="15"/>
  <c r="V137" i="15"/>
  <c r="U137" i="15"/>
  <c r="T137" i="15"/>
  <c r="S137" i="15"/>
  <c r="R137" i="15"/>
  <c r="P137" i="15"/>
  <c r="AA136" i="15"/>
  <c r="Z136" i="15"/>
  <c r="Y136" i="15"/>
  <c r="X136" i="15"/>
  <c r="W136" i="15"/>
  <c r="V136" i="15"/>
  <c r="U136" i="15"/>
  <c r="T136" i="15"/>
  <c r="S136" i="15"/>
  <c r="R136" i="15"/>
  <c r="P136" i="15"/>
  <c r="AA135" i="15"/>
  <c r="Z135" i="15"/>
  <c r="Y135" i="15"/>
  <c r="X135" i="15"/>
  <c r="W135" i="15"/>
  <c r="V135" i="15"/>
  <c r="U135" i="15"/>
  <c r="T135" i="15"/>
  <c r="S135" i="15"/>
  <c r="R135" i="15"/>
  <c r="P135" i="15"/>
  <c r="AA134" i="15"/>
  <c r="Z134" i="15"/>
  <c r="Y134" i="15"/>
  <c r="X134" i="15"/>
  <c r="W134" i="15"/>
  <c r="V134" i="15"/>
  <c r="U134" i="15"/>
  <c r="T134" i="15"/>
  <c r="S134" i="15"/>
  <c r="R134" i="15"/>
  <c r="P134" i="15"/>
  <c r="AA133" i="15"/>
  <c r="Z133" i="15"/>
  <c r="Y133" i="15"/>
  <c r="X133" i="15"/>
  <c r="W133" i="15"/>
  <c r="V133" i="15"/>
  <c r="U133" i="15"/>
  <c r="T133" i="15"/>
  <c r="S133" i="15"/>
  <c r="R133" i="15"/>
  <c r="P133" i="15"/>
  <c r="AA132" i="15"/>
  <c r="Z132" i="15"/>
  <c r="Y132" i="15"/>
  <c r="X132" i="15"/>
  <c r="W132" i="15"/>
  <c r="V132" i="15"/>
  <c r="U132" i="15"/>
  <c r="T132" i="15"/>
  <c r="S132" i="15"/>
  <c r="R132" i="15"/>
  <c r="P132" i="15"/>
  <c r="AA131" i="15"/>
  <c r="Z131" i="15"/>
  <c r="Y131" i="15"/>
  <c r="X131" i="15"/>
  <c r="W131" i="15"/>
  <c r="V131" i="15"/>
  <c r="U131" i="15"/>
  <c r="T131" i="15"/>
  <c r="S131" i="15"/>
  <c r="R131" i="15"/>
  <c r="P131" i="15"/>
  <c r="AA130" i="15"/>
  <c r="Z130" i="15"/>
  <c r="Y130" i="15"/>
  <c r="X130" i="15"/>
  <c r="W130" i="15"/>
  <c r="V130" i="15"/>
  <c r="U130" i="15"/>
  <c r="T130" i="15"/>
  <c r="S130" i="15"/>
  <c r="R130" i="15"/>
  <c r="P130" i="15"/>
  <c r="AA129" i="15"/>
  <c r="Z129" i="15"/>
  <c r="Y129" i="15"/>
  <c r="X129" i="15"/>
  <c r="W129" i="15"/>
  <c r="V129" i="15"/>
  <c r="U129" i="15"/>
  <c r="T129" i="15"/>
  <c r="S129" i="15"/>
  <c r="R129" i="15"/>
  <c r="P129" i="15"/>
  <c r="AA128" i="15"/>
  <c r="Z128" i="15"/>
  <c r="Y128" i="15"/>
  <c r="X128" i="15"/>
  <c r="W128" i="15"/>
  <c r="V128" i="15"/>
  <c r="U128" i="15"/>
  <c r="T128" i="15"/>
  <c r="S128" i="15"/>
  <c r="R128" i="15"/>
  <c r="P128" i="15"/>
  <c r="AA127" i="15"/>
  <c r="Z127" i="15"/>
  <c r="Y127" i="15"/>
  <c r="X127" i="15"/>
  <c r="W127" i="15"/>
  <c r="V127" i="15"/>
  <c r="U127" i="15"/>
  <c r="T127" i="15"/>
  <c r="S127" i="15"/>
  <c r="R127" i="15"/>
  <c r="P127" i="15"/>
  <c r="AA126" i="15"/>
  <c r="Z126" i="15"/>
  <c r="Y126" i="15"/>
  <c r="X126" i="15"/>
  <c r="W126" i="15"/>
  <c r="V126" i="15"/>
  <c r="U126" i="15"/>
  <c r="T126" i="15"/>
  <c r="S126" i="15"/>
  <c r="R126" i="15"/>
  <c r="P126" i="15"/>
  <c r="AA125" i="15"/>
  <c r="Z125" i="15"/>
  <c r="Y125" i="15"/>
  <c r="X125" i="15"/>
  <c r="W125" i="15"/>
  <c r="V125" i="15"/>
  <c r="U125" i="15"/>
  <c r="T125" i="15"/>
  <c r="S125" i="15"/>
  <c r="R125" i="15"/>
  <c r="P125" i="15"/>
  <c r="AA124" i="15"/>
  <c r="Z124" i="15"/>
  <c r="Y124" i="15"/>
  <c r="X124" i="15"/>
  <c r="W124" i="15"/>
  <c r="V124" i="15"/>
  <c r="U124" i="15"/>
  <c r="T124" i="15"/>
  <c r="S124" i="15"/>
  <c r="R124" i="15"/>
  <c r="P124" i="15"/>
  <c r="AA123" i="15"/>
  <c r="Z123" i="15"/>
  <c r="Y123" i="15"/>
  <c r="X123" i="15"/>
  <c r="W123" i="15"/>
  <c r="V123" i="15"/>
  <c r="U123" i="15"/>
  <c r="T123" i="15"/>
  <c r="S123" i="15"/>
  <c r="R123" i="15"/>
  <c r="P123" i="15"/>
  <c r="AA122" i="15"/>
  <c r="Z122" i="15"/>
  <c r="Y122" i="15"/>
  <c r="X122" i="15"/>
  <c r="W122" i="15"/>
  <c r="V122" i="15"/>
  <c r="U122" i="15"/>
  <c r="T122" i="15"/>
  <c r="S122" i="15"/>
  <c r="R122" i="15"/>
  <c r="P122" i="15"/>
  <c r="AA121" i="15"/>
  <c r="Z121" i="15"/>
  <c r="Y121" i="15"/>
  <c r="X121" i="15"/>
  <c r="W121" i="15"/>
  <c r="V121" i="15"/>
  <c r="U121" i="15"/>
  <c r="T121" i="15"/>
  <c r="S121" i="15"/>
  <c r="R121" i="15"/>
  <c r="P121" i="15"/>
  <c r="AA120" i="15"/>
  <c r="Z120" i="15"/>
  <c r="Y120" i="15"/>
  <c r="X120" i="15"/>
  <c r="W120" i="15"/>
  <c r="V120" i="15"/>
  <c r="U120" i="15"/>
  <c r="T120" i="15"/>
  <c r="S120" i="15"/>
  <c r="R120" i="15"/>
  <c r="P120" i="15"/>
  <c r="AA119" i="15"/>
  <c r="Z119" i="15"/>
  <c r="Y119" i="15"/>
  <c r="X119" i="15"/>
  <c r="W119" i="15"/>
  <c r="V119" i="15"/>
  <c r="U119" i="15"/>
  <c r="T119" i="15"/>
  <c r="S119" i="15"/>
  <c r="R119" i="15"/>
  <c r="P119" i="15"/>
  <c r="AA118" i="15"/>
  <c r="Z118" i="15"/>
  <c r="Y118" i="15"/>
  <c r="X118" i="15"/>
  <c r="W118" i="15"/>
  <c r="V118" i="15"/>
  <c r="U118" i="15"/>
  <c r="T118" i="15"/>
  <c r="S118" i="15"/>
  <c r="R118" i="15"/>
  <c r="P118" i="15"/>
  <c r="AA117" i="15"/>
  <c r="Z117" i="15"/>
  <c r="Y117" i="15"/>
  <c r="X117" i="15"/>
  <c r="W117" i="15"/>
  <c r="V117" i="15"/>
  <c r="U117" i="15"/>
  <c r="T117" i="15"/>
  <c r="S117" i="15"/>
  <c r="R117" i="15"/>
  <c r="P117" i="15"/>
  <c r="AA116" i="15"/>
  <c r="Z116" i="15"/>
  <c r="Y116" i="15"/>
  <c r="X116" i="15"/>
  <c r="W116" i="15"/>
  <c r="V116" i="15"/>
  <c r="U116" i="15"/>
  <c r="T116" i="15"/>
  <c r="S116" i="15"/>
  <c r="R116" i="15"/>
  <c r="P116" i="15"/>
  <c r="AA115" i="15"/>
  <c r="Z115" i="15"/>
  <c r="Y115" i="15"/>
  <c r="X115" i="15"/>
  <c r="W115" i="15"/>
  <c r="V115" i="15"/>
  <c r="U115" i="15"/>
  <c r="T115" i="15"/>
  <c r="S115" i="15"/>
  <c r="R115" i="15"/>
  <c r="P115" i="15"/>
  <c r="AA114" i="15"/>
  <c r="Z114" i="15"/>
  <c r="Y114" i="15"/>
  <c r="X114" i="15"/>
  <c r="W114" i="15"/>
  <c r="V114" i="15"/>
  <c r="U114" i="15"/>
  <c r="T114" i="15"/>
  <c r="S114" i="15"/>
  <c r="R114" i="15"/>
  <c r="P114" i="15"/>
  <c r="AA113" i="15"/>
  <c r="Z113" i="15"/>
  <c r="Y113" i="15"/>
  <c r="X113" i="15"/>
  <c r="W113" i="15"/>
  <c r="V113" i="15"/>
  <c r="U113" i="15"/>
  <c r="T113" i="15"/>
  <c r="S113" i="15"/>
  <c r="R113" i="15"/>
  <c r="P113" i="15"/>
  <c r="AA112" i="15"/>
  <c r="Z112" i="15"/>
  <c r="Y112" i="15"/>
  <c r="X112" i="15"/>
  <c r="W112" i="15"/>
  <c r="V112" i="15"/>
  <c r="U112" i="15"/>
  <c r="T112" i="15"/>
  <c r="S112" i="15"/>
  <c r="R112" i="15"/>
  <c r="P112" i="15"/>
  <c r="AA111" i="15"/>
  <c r="Z111" i="15"/>
  <c r="Y111" i="15"/>
  <c r="X111" i="15"/>
  <c r="W111" i="15"/>
  <c r="V111" i="15"/>
  <c r="U111" i="15"/>
  <c r="T111" i="15"/>
  <c r="S111" i="15"/>
  <c r="R111" i="15"/>
  <c r="P111" i="15"/>
  <c r="AA110" i="15"/>
  <c r="Z110" i="15"/>
  <c r="Y110" i="15"/>
  <c r="X110" i="15"/>
  <c r="W110" i="15"/>
  <c r="V110" i="15"/>
  <c r="U110" i="15"/>
  <c r="T110" i="15"/>
  <c r="S110" i="15"/>
  <c r="R110" i="15"/>
  <c r="P110" i="15"/>
  <c r="AA109" i="15"/>
  <c r="Z109" i="15"/>
  <c r="Y109" i="15"/>
  <c r="X109" i="15"/>
  <c r="W109" i="15"/>
  <c r="V109" i="15"/>
  <c r="U109" i="15"/>
  <c r="T109" i="15"/>
  <c r="S109" i="15"/>
  <c r="R109" i="15"/>
  <c r="P109" i="15"/>
  <c r="AA108" i="15"/>
  <c r="Z108" i="15"/>
  <c r="Y108" i="15"/>
  <c r="X108" i="15"/>
  <c r="W108" i="15"/>
  <c r="V108" i="15"/>
  <c r="U108" i="15"/>
  <c r="T108" i="15"/>
  <c r="S108" i="15"/>
  <c r="R108" i="15"/>
  <c r="P108" i="15"/>
  <c r="AA107" i="15"/>
  <c r="Z107" i="15"/>
  <c r="Y107" i="15"/>
  <c r="X107" i="15"/>
  <c r="W107" i="15"/>
  <c r="V107" i="15"/>
  <c r="U107" i="15"/>
  <c r="T107" i="15"/>
  <c r="S107" i="15"/>
  <c r="R107" i="15"/>
  <c r="P107" i="15"/>
  <c r="AA106" i="15"/>
  <c r="Z106" i="15"/>
  <c r="Y106" i="15"/>
  <c r="X106" i="15"/>
  <c r="W106" i="15"/>
  <c r="V106" i="15"/>
  <c r="U106" i="15"/>
  <c r="T106" i="15"/>
  <c r="S106" i="15"/>
  <c r="R106" i="15"/>
  <c r="P106" i="15"/>
  <c r="AA105" i="15"/>
  <c r="Z105" i="15"/>
  <c r="Y105" i="15"/>
  <c r="X105" i="15"/>
  <c r="W105" i="15"/>
  <c r="V105" i="15"/>
  <c r="U105" i="15"/>
  <c r="T105" i="15"/>
  <c r="S105" i="15"/>
  <c r="R105" i="15"/>
  <c r="P105" i="15"/>
  <c r="AA104" i="15"/>
  <c r="Z104" i="15"/>
  <c r="Y104" i="15"/>
  <c r="X104" i="15"/>
  <c r="W104" i="15"/>
  <c r="V104" i="15"/>
  <c r="U104" i="15"/>
  <c r="T104" i="15"/>
  <c r="S104" i="15"/>
  <c r="R104" i="15"/>
  <c r="P104" i="15"/>
  <c r="AA103" i="15"/>
  <c r="Z103" i="15"/>
  <c r="Y103" i="15"/>
  <c r="X103" i="15"/>
  <c r="W103" i="15"/>
  <c r="V103" i="15"/>
  <c r="U103" i="15"/>
  <c r="T103" i="15"/>
  <c r="S103" i="15"/>
  <c r="R103" i="15"/>
  <c r="P103" i="15"/>
  <c r="AA102" i="15"/>
  <c r="Z102" i="15"/>
  <c r="Y102" i="15"/>
  <c r="X102" i="15"/>
  <c r="W102" i="15"/>
  <c r="V102" i="15"/>
  <c r="U102" i="15"/>
  <c r="T102" i="15"/>
  <c r="S102" i="15"/>
  <c r="R102" i="15"/>
  <c r="P102" i="15"/>
  <c r="AA101" i="15"/>
  <c r="Z101" i="15"/>
  <c r="Y101" i="15"/>
  <c r="X101" i="15"/>
  <c r="W101" i="15"/>
  <c r="V101" i="15"/>
  <c r="U101" i="15"/>
  <c r="T101" i="15"/>
  <c r="S101" i="15"/>
  <c r="R101" i="15"/>
  <c r="P101" i="15"/>
  <c r="AA100" i="15"/>
  <c r="Z100" i="15"/>
  <c r="Y100" i="15"/>
  <c r="X100" i="15"/>
  <c r="W100" i="15"/>
  <c r="V100" i="15"/>
  <c r="U100" i="15"/>
  <c r="T100" i="15"/>
  <c r="S100" i="15"/>
  <c r="R100" i="15"/>
  <c r="P100" i="15"/>
  <c r="AA99" i="15"/>
  <c r="Z99" i="15"/>
  <c r="Y99" i="15"/>
  <c r="X99" i="15"/>
  <c r="W99" i="15"/>
  <c r="V99" i="15"/>
  <c r="U99" i="15"/>
  <c r="T99" i="15"/>
  <c r="S99" i="15"/>
  <c r="R99" i="15"/>
  <c r="P99" i="15"/>
  <c r="AA98" i="15"/>
  <c r="Z98" i="15"/>
  <c r="Y98" i="15"/>
  <c r="X98" i="15"/>
  <c r="W98" i="15"/>
  <c r="V98" i="15"/>
  <c r="U98" i="15"/>
  <c r="T98" i="15"/>
  <c r="S98" i="15"/>
  <c r="R98" i="15"/>
  <c r="P98" i="15"/>
  <c r="O92" i="15"/>
  <c r="N92" i="15"/>
  <c r="M92" i="15"/>
  <c r="L92" i="15"/>
  <c r="K92" i="15"/>
  <c r="J92" i="15"/>
  <c r="I92" i="15"/>
  <c r="H92" i="15"/>
  <c r="G92" i="15"/>
  <c r="F92" i="15"/>
  <c r="E92" i="15"/>
  <c r="P89" i="15"/>
  <c r="P88" i="15"/>
  <c r="P87" i="15"/>
  <c r="P86" i="15"/>
  <c r="P85" i="15"/>
  <c r="P84" i="15"/>
  <c r="P83" i="15"/>
  <c r="P82" i="15"/>
  <c r="P81" i="15"/>
  <c r="P80" i="15"/>
  <c r="P79" i="15"/>
  <c r="P78" i="15"/>
  <c r="P77" i="15"/>
  <c r="P76" i="15"/>
  <c r="P75" i="15"/>
  <c r="P74" i="15"/>
  <c r="P73" i="15"/>
  <c r="P72" i="15"/>
  <c r="P71" i="15"/>
  <c r="P70" i="15"/>
  <c r="P69" i="15"/>
  <c r="P68" i="15"/>
  <c r="AA67" i="15"/>
  <c r="Z67" i="15"/>
  <c r="Y67" i="15"/>
  <c r="X67" i="15"/>
  <c r="W67" i="15"/>
  <c r="V67" i="15"/>
  <c r="U67" i="15"/>
  <c r="T67" i="15"/>
  <c r="S67" i="15"/>
  <c r="R67" i="15"/>
  <c r="P67" i="15"/>
  <c r="AA66" i="15"/>
  <c r="Z66" i="15"/>
  <c r="Y66" i="15"/>
  <c r="X66" i="15"/>
  <c r="W66" i="15"/>
  <c r="V66" i="15"/>
  <c r="U66" i="15"/>
  <c r="T66" i="15"/>
  <c r="S66" i="15"/>
  <c r="R66" i="15"/>
  <c r="P66" i="15"/>
  <c r="AA65" i="15"/>
  <c r="Z65" i="15"/>
  <c r="Y65" i="15"/>
  <c r="X65" i="15"/>
  <c r="W65" i="15"/>
  <c r="V65" i="15"/>
  <c r="U65" i="15"/>
  <c r="T65" i="15"/>
  <c r="S65" i="15"/>
  <c r="R65" i="15"/>
  <c r="P65" i="15"/>
  <c r="AA64" i="15"/>
  <c r="Z64" i="15"/>
  <c r="Y64" i="15"/>
  <c r="X64" i="15"/>
  <c r="W64" i="15"/>
  <c r="V64" i="15"/>
  <c r="U64" i="15"/>
  <c r="T64" i="15"/>
  <c r="S64" i="15"/>
  <c r="R64" i="15"/>
  <c r="P64" i="15"/>
  <c r="AA63" i="15"/>
  <c r="Z63" i="15"/>
  <c r="Y63" i="15"/>
  <c r="X63" i="15"/>
  <c r="W63" i="15"/>
  <c r="V63" i="15"/>
  <c r="U63" i="15"/>
  <c r="T63" i="15"/>
  <c r="S63" i="15"/>
  <c r="R63" i="15"/>
  <c r="P63" i="15"/>
  <c r="AA62" i="15"/>
  <c r="Z62" i="15"/>
  <c r="Y62" i="15"/>
  <c r="X62" i="15"/>
  <c r="W62" i="15"/>
  <c r="V62" i="15"/>
  <c r="U62" i="15"/>
  <c r="T62" i="15"/>
  <c r="S62" i="15"/>
  <c r="R62" i="15"/>
  <c r="P62" i="15"/>
  <c r="AA61" i="15"/>
  <c r="Z61" i="15"/>
  <c r="Y61" i="15"/>
  <c r="X61" i="15"/>
  <c r="W61" i="15"/>
  <c r="V61" i="15"/>
  <c r="U61" i="15"/>
  <c r="T61" i="15"/>
  <c r="S61" i="15"/>
  <c r="R61" i="15"/>
  <c r="P61" i="15"/>
  <c r="AA60" i="15"/>
  <c r="Z60" i="15"/>
  <c r="Y60" i="15"/>
  <c r="X60" i="15"/>
  <c r="W60" i="15"/>
  <c r="V60" i="15"/>
  <c r="U60" i="15"/>
  <c r="T60" i="15"/>
  <c r="S60" i="15"/>
  <c r="R60" i="15"/>
  <c r="P60" i="15"/>
  <c r="AA59" i="15"/>
  <c r="Z59" i="15"/>
  <c r="Y59" i="15"/>
  <c r="X59" i="15"/>
  <c r="W59" i="15"/>
  <c r="V59" i="15"/>
  <c r="U59" i="15"/>
  <c r="T59" i="15"/>
  <c r="S59" i="15"/>
  <c r="R59" i="15"/>
  <c r="P59" i="15"/>
  <c r="AA58" i="15"/>
  <c r="Z58" i="15"/>
  <c r="Y58" i="15"/>
  <c r="X58" i="15"/>
  <c r="W58" i="15"/>
  <c r="V58" i="15"/>
  <c r="U58" i="15"/>
  <c r="T58" i="15"/>
  <c r="S58" i="15"/>
  <c r="R58" i="15"/>
  <c r="P58" i="15"/>
  <c r="AA57" i="15"/>
  <c r="Z57" i="15"/>
  <c r="Y57" i="15"/>
  <c r="X57" i="15"/>
  <c r="W57" i="15"/>
  <c r="V57" i="15"/>
  <c r="U57" i="15"/>
  <c r="T57" i="15"/>
  <c r="S57" i="15"/>
  <c r="R57" i="15"/>
  <c r="P57" i="15"/>
  <c r="AA56" i="15"/>
  <c r="Z56" i="15"/>
  <c r="Y56" i="15"/>
  <c r="X56" i="15"/>
  <c r="W56" i="15"/>
  <c r="V56" i="15"/>
  <c r="U56" i="15"/>
  <c r="T56" i="15"/>
  <c r="S56" i="15"/>
  <c r="R56" i="15"/>
  <c r="P56" i="15"/>
  <c r="AA55" i="15"/>
  <c r="Z55" i="15"/>
  <c r="Y55" i="15"/>
  <c r="X55" i="15"/>
  <c r="W55" i="15"/>
  <c r="V55" i="15"/>
  <c r="U55" i="15"/>
  <c r="T55" i="15"/>
  <c r="S55" i="15"/>
  <c r="R55" i="15"/>
  <c r="P55" i="15"/>
  <c r="AA54" i="15"/>
  <c r="Z54" i="15"/>
  <c r="Y54" i="15"/>
  <c r="X54" i="15"/>
  <c r="W54" i="15"/>
  <c r="V54" i="15"/>
  <c r="U54" i="15"/>
  <c r="T54" i="15"/>
  <c r="S54" i="15"/>
  <c r="R54" i="15"/>
  <c r="P54" i="15"/>
  <c r="AA53" i="15"/>
  <c r="Z53" i="15"/>
  <c r="Y53" i="15"/>
  <c r="X53" i="15"/>
  <c r="W53" i="15"/>
  <c r="V53" i="15"/>
  <c r="U53" i="15"/>
  <c r="T53" i="15"/>
  <c r="S53" i="15"/>
  <c r="R53" i="15"/>
  <c r="P53" i="15"/>
  <c r="AA52" i="15"/>
  <c r="Z52" i="15"/>
  <c r="Y52" i="15"/>
  <c r="X52" i="15"/>
  <c r="W52" i="15"/>
  <c r="V52" i="15"/>
  <c r="U52" i="15"/>
  <c r="T52" i="15"/>
  <c r="S52" i="15"/>
  <c r="R52" i="15"/>
  <c r="P52" i="15"/>
  <c r="AA51" i="15"/>
  <c r="Z51" i="15"/>
  <c r="Y51" i="15"/>
  <c r="X51" i="15"/>
  <c r="W51" i="15"/>
  <c r="V51" i="15"/>
  <c r="U51" i="15"/>
  <c r="T51" i="15"/>
  <c r="S51" i="15"/>
  <c r="R51" i="15"/>
  <c r="P51" i="15"/>
  <c r="AA50" i="15"/>
  <c r="Z50" i="15"/>
  <c r="Y50" i="15"/>
  <c r="X50" i="15"/>
  <c r="W50" i="15"/>
  <c r="V50" i="15"/>
  <c r="U50" i="15"/>
  <c r="T50" i="15"/>
  <c r="S50" i="15"/>
  <c r="R50" i="15"/>
  <c r="P50" i="15"/>
  <c r="AA49" i="15"/>
  <c r="Z49" i="15"/>
  <c r="Y49" i="15"/>
  <c r="X49" i="15"/>
  <c r="W49" i="15"/>
  <c r="V49" i="15"/>
  <c r="U49" i="15"/>
  <c r="T49" i="15"/>
  <c r="S49" i="15"/>
  <c r="R49" i="15"/>
  <c r="P49" i="15"/>
  <c r="AA48" i="15"/>
  <c r="Z48" i="15"/>
  <c r="Y48" i="15"/>
  <c r="X48" i="15"/>
  <c r="W48" i="15"/>
  <c r="V48" i="15"/>
  <c r="U48" i="15"/>
  <c r="T48" i="15"/>
  <c r="S48" i="15"/>
  <c r="R48" i="15"/>
  <c r="P48" i="15"/>
  <c r="AA47" i="15"/>
  <c r="Z47" i="15"/>
  <c r="Y47" i="15"/>
  <c r="X47" i="15"/>
  <c r="W47" i="15"/>
  <c r="V47" i="15"/>
  <c r="U47" i="15"/>
  <c r="T47" i="15"/>
  <c r="S47" i="15"/>
  <c r="R47" i="15"/>
  <c r="P47" i="15"/>
  <c r="AA46" i="15"/>
  <c r="Z46" i="15"/>
  <c r="Y46" i="15"/>
  <c r="X46" i="15"/>
  <c r="W46" i="15"/>
  <c r="V46" i="15"/>
  <c r="U46" i="15"/>
  <c r="T46" i="15"/>
  <c r="S46" i="15"/>
  <c r="R46" i="15"/>
  <c r="P46" i="15"/>
  <c r="AA45" i="15"/>
  <c r="Z45" i="15"/>
  <c r="Y45" i="15"/>
  <c r="X45" i="15"/>
  <c r="W45" i="15"/>
  <c r="V45" i="15"/>
  <c r="U45" i="15"/>
  <c r="T45" i="15"/>
  <c r="S45" i="15"/>
  <c r="R45" i="15"/>
  <c r="P45" i="15"/>
  <c r="AA44" i="15"/>
  <c r="Z44" i="15"/>
  <c r="Y44" i="15"/>
  <c r="X44" i="15"/>
  <c r="W44" i="15"/>
  <c r="V44" i="15"/>
  <c r="U44" i="15"/>
  <c r="T44" i="15"/>
  <c r="S44" i="15"/>
  <c r="R44" i="15"/>
  <c r="P44" i="15"/>
  <c r="AA43" i="15"/>
  <c r="Z43" i="15"/>
  <c r="Y43" i="15"/>
  <c r="X43" i="15"/>
  <c r="W43" i="15"/>
  <c r="V43" i="15"/>
  <c r="U43" i="15"/>
  <c r="T43" i="15"/>
  <c r="S43" i="15"/>
  <c r="R43" i="15"/>
  <c r="P43" i="15"/>
  <c r="AA42" i="15"/>
  <c r="Z42" i="15"/>
  <c r="Y42" i="15"/>
  <c r="X42" i="15"/>
  <c r="W42" i="15"/>
  <c r="V42" i="15"/>
  <c r="U42" i="15"/>
  <c r="T42" i="15"/>
  <c r="S42" i="15"/>
  <c r="R42" i="15"/>
  <c r="P42" i="15"/>
  <c r="AA41" i="15"/>
  <c r="Z41" i="15"/>
  <c r="Y41" i="15"/>
  <c r="X41" i="15"/>
  <c r="W41" i="15"/>
  <c r="V41" i="15"/>
  <c r="U41" i="15"/>
  <c r="T41" i="15"/>
  <c r="S41" i="15"/>
  <c r="R41" i="15"/>
  <c r="P41" i="15"/>
  <c r="AA40" i="15"/>
  <c r="Z40" i="15"/>
  <c r="Y40" i="15"/>
  <c r="X40" i="15"/>
  <c r="W40" i="15"/>
  <c r="V40" i="15"/>
  <c r="U40" i="15"/>
  <c r="T40" i="15"/>
  <c r="S40" i="15"/>
  <c r="R40" i="15"/>
  <c r="P40" i="15"/>
  <c r="AA39" i="15"/>
  <c r="Z39" i="15"/>
  <c r="Y39" i="15"/>
  <c r="X39" i="15"/>
  <c r="W39" i="15"/>
  <c r="V39" i="15"/>
  <c r="U39" i="15"/>
  <c r="T39" i="15"/>
  <c r="S39" i="15"/>
  <c r="R39" i="15"/>
  <c r="P39" i="15"/>
  <c r="AA38" i="15"/>
  <c r="Z38" i="15"/>
  <c r="Y38" i="15"/>
  <c r="X38" i="15"/>
  <c r="W38" i="15"/>
  <c r="V38" i="15"/>
  <c r="U38" i="15"/>
  <c r="T38" i="15"/>
  <c r="S38" i="15"/>
  <c r="R38" i="15"/>
  <c r="P38" i="15"/>
  <c r="AA37" i="15"/>
  <c r="Z37" i="15"/>
  <c r="Y37" i="15"/>
  <c r="X37" i="15"/>
  <c r="W37" i="15"/>
  <c r="V37" i="15"/>
  <c r="U37" i="15"/>
  <c r="T37" i="15"/>
  <c r="S37" i="15"/>
  <c r="R37" i="15"/>
  <c r="P37" i="15"/>
  <c r="AA36" i="15"/>
  <c r="Z36" i="15"/>
  <c r="Y36" i="15"/>
  <c r="X36" i="15"/>
  <c r="W36" i="15"/>
  <c r="V36" i="15"/>
  <c r="U36" i="15"/>
  <c r="T36" i="15"/>
  <c r="S36" i="15"/>
  <c r="R36" i="15"/>
  <c r="P36" i="15"/>
  <c r="AA35" i="15"/>
  <c r="Z35" i="15"/>
  <c r="Y35" i="15"/>
  <c r="X35" i="15"/>
  <c r="W35" i="15"/>
  <c r="V35" i="15"/>
  <c r="U35" i="15"/>
  <c r="T35" i="15"/>
  <c r="S35" i="15"/>
  <c r="R35" i="15"/>
  <c r="P35" i="15"/>
  <c r="AA34" i="15"/>
  <c r="Z34" i="15"/>
  <c r="Y34" i="15"/>
  <c r="X34" i="15"/>
  <c r="W34" i="15"/>
  <c r="V34" i="15"/>
  <c r="U34" i="15"/>
  <c r="T34" i="15"/>
  <c r="S34" i="15"/>
  <c r="R34" i="15"/>
  <c r="P34" i="15"/>
  <c r="AA33" i="15"/>
  <c r="Z33" i="15"/>
  <c r="Y33" i="15"/>
  <c r="X33" i="15"/>
  <c r="W33" i="15"/>
  <c r="V33" i="15"/>
  <c r="U33" i="15"/>
  <c r="T33" i="15"/>
  <c r="S33" i="15"/>
  <c r="R33" i="15"/>
  <c r="P33" i="15"/>
  <c r="AA32" i="15"/>
  <c r="Z32" i="15"/>
  <c r="Y32" i="15"/>
  <c r="X32" i="15"/>
  <c r="W32" i="15"/>
  <c r="V32" i="15"/>
  <c r="U32" i="15"/>
  <c r="T32" i="15"/>
  <c r="S32" i="15"/>
  <c r="R32" i="15"/>
  <c r="P32" i="15"/>
  <c r="AA31" i="15"/>
  <c r="Z31" i="15"/>
  <c r="Y31" i="15"/>
  <c r="X31" i="15"/>
  <c r="W31" i="15"/>
  <c r="V31" i="15"/>
  <c r="U31" i="15"/>
  <c r="T31" i="15"/>
  <c r="S31" i="15"/>
  <c r="R31" i="15"/>
  <c r="P31" i="15"/>
  <c r="AA30" i="15"/>
  <c r="Z30" i="15"/>
  <c r="Y30" i="15"/>
  <c r="X30" i="15"/>
  <c r="W30" i="15"/>
  <c r="V30" i="15"/>
  <c r="U30" i="15"/>
  <c r="T30" i="15"/>
  <c r="S30" i="15"/>
  <c r="R30" i="15"/>
  <c r="P30" i="15"/>
  <c r="AA29" i="15"/>
  <c r="Z29" i="15"/>
  <c r="Y29" i="15"/>
  <c r="X29" i="15"/>
  <c r="W29" i="15"/>
  <c r="V29" i="15"/>
  <c r="U29" i="15"/>
  <c r="T29" i="15"/>
  <c r="S29" i="15"/>
  <c r="R29" i="15"/>
  <c r="P29" i="15"/>
  <c r="AA28" i="15"/>
  <c r="Z28" i="15"/>
  <c r="Y28" i="15"/>
  <c r="X28" i="15"/>
  <c r="W28" i="15"/>
  <c r="V28" i="15"/>
  <c r="U28" i="15"/>
  <c r="T28" i="15"/>
  <c r="S28" i="15"/>
  <c r="R28" i="15"/>
  <c r="P28" i="15"/>
  <c r="AA27" i="15"/>
  <c r="Z27" i="15"/>
  <c r="Y27" i="15"/>
  <c r="X27" i="15"/>
  <c r="W27" i="15"/>
  <c r="V27" i="15"/>
  <c r="U27" i="15"/>
  <c r="T27" i="15"/>
  <c r="S27" i="15"/>
  <c r="R27" i="15"/>
  <c r="P27" i="15"/>
  <c r="AA26" i="15"/>
  <c r="Z26" i="15"/>
  <c r="Y26" i="15"/>
  <c r="X26" i="15"/>
  <c r="W26" i="15"/>
  <c r="V26" i="15"/>
  <c r="U26" i="15"/>
  <c r="T26" i="15"/>
  <c r="S26" i="15"/>
  <c r="R26" i="15"/>
  <c r="P26" i="15"/>
  <c r="AA25" i="15"/>
  <c r="Z25" i="15"/>
  <c r="Y25" i="15"/>
  <c r="X25" i="15"/>
  <c r="W25" i="15"/>
  <c r="V25" i="15"/>
  <c r="U25" i="15"/>
  <c r="T25" i="15"/>
  <c r="S25" i="15"/>
  <c r="R25" i="15"/>
  <c r="P25" i="15"/>
  <c r="AA24" i="15"/>
  <c r="Z24" i="15"/>
  <c r="Y24" i="15"/>
  <c r="X24" i="15"/>
  <c r="W24" i="15"/>
  <c r="V24" i="15"/>
  <c r="U24" i="15"/>
  <c r="T24" i="15"/>
  <c r="S24" i="15"/>
  <c r="R24" i="15"/>
  <c r="P24" i="15"/>
  <c r="AA23" i="15"/>
  <c r="Z23" i="15"/>
  <c r="Y23" i="15"/>
  <c r="X23" i="15"/>
  <c r="W23" i="15"/>
  <c r="V23" i="15"/>
  <c r="U23" i="15"/>
  <c r="T23" i="15"/>
  <c r="S23" i="15"/>
  <c r="R23" i="15"/>
  <c r="P23" i="15"/>
  <c r="AA22" i="15"/>
  <c r="Z22" i="15"/>
  <c r="Y22" i="15"/>
  <c r="X22" i="15"/>
  <c r="W22" i="15"/>
  <c r="V22" i="15"/>
  <c r="U22" i="15"/>
  <c r="T22" i="15"/>
  <c r="S22" i="15"/>
  <c r="R22" i="15"/>
  <c r="P22" i="15"/>
  <c r="AA21" i="15"/>
  <c r="Z21" i="15"/>
  <c r="Y21" i="15"/>
  <c r="X21" i="15"/>
  <c r="W21" i="15"/>
  <c r="V21" i="15"/>
  <c r="U21" i="15"/>
  <c r="T21" i="15"/>
  <c r="S21" i="15"/>
  <c r="R21" i="15"/>
  <c r="P21" i="15"/>
  <c r="AA20" i="15"/>
  <c r="Z20" i="15"/>
  <c r="Y20" i="15"/>
  <c r="X20" i="15"/>
  <c r="W20" i="15"/>
  <c r="V20" i="15"/>
  <c r="U20" i="15"/>
  <c r="T20" i="15"/>
  <c r="S20" i="15"/>
  <c r="R20" i="15"/>
  <c r="P20" i="15"/>
  <c r="AA19" i="15"/>
  <c r="Z19" i="15"/>
  <c r="Y19" i="15"/>
  <c r="X19" i="15"/>
  <c r="W19" i="15"/>
  <c r="V19" i="15"/>
  <c r="U19" i="15"/>
  <c r="T19" i="15"/>
  <c r="S19" i="15"/>
  <c r="R19" i="15"/>
  <c r="P19" i="15"/>
  <c r="AA18" i="15"/>
  <c r="Z18" i="15"/>
  <c r="Y18" i="15"/>
  <c r="X18" i="15"/>
  <c r="W18" i="15"/>
  <c r="V18" i="15"/>
  <c r="U18" i="15"/>
  <c r="T18" i="15"/>
  <c r="S18" i="15"/>
  <c r="R18" i="15"/>
  <c r="P18" i="15"/>
  <c r="AA17" i="15"/>
  <c r="Z17" i="15"/>
  <c r="Y17" i="15"/>
  <c r="X17" i="15"/>
  <c r="W17" i="15"/>
  <c r="V17" i="15"/>
  <c r="U17" i="15"/>
  <c r="T17" i="15"/>
  <c r="S17" i="15"/>
  <c r="R17" i="15"/>
  <c r="P17" i="15"/>
  <c r="AA16" i="15"/>
  <c r="Z16" i="15"/>
  <c r="Y16" i="15"/>
  <c r="X16" i="15"/>
  <c r="W16" i="15"/>
  <c r="V16" i="15"/>
  <c r="U16" i="15"/>
  <c r="T16" i="15"/>
  <c r="S16" i="15"/>
  <c r="R16" i="15"/>
  <c r="P16" i="15"/>
  <c r="AA15" i="15"/>
  <c r="Z15" i="15"/>
  <c r="Y15" i="15"/>
  <c r="X15" i="15"/>
  <c r="W15" i="15"/>
  <c r="V15" i="15"/>
  <c r="U15" i="15"/>
  <c r="T15" i="15"/>
  <c r="S15" i="15"/>
  <c r="R15" i="15"/>
  <c r="P15" i="15"/>
  <c r="AA14" i="15"/>
  <c r="Z14" i="15"/>
  <c r="Y14" i="15"/>
  <c r="X14" i="15"/>
  <c r="W14" i="15"/>
  <c r="V14" i="15"/>
  <c r="U14" i="15"/>
  <c r="T14" i="15"/>
  <c r="S14" i="15"/>
  <c r="R14" i="15"/>
  <c r="P14" i="15"/>
  <c r="AA13" i="15"/>
  <c r="Z13" i="15"/>
  <c r="Y13" i="15"/>
  <c r="X13" i="15"/>
  <c r="W13" i="15"/>
  <c r="V13" i="15"/>
  <c r="U13" i="15"/>
  <c r="T13" i="15"/>
  <c r="S13" i="15"/>
  <c r="R13" i="15"/>
  <c r="P13" i="15"/>
  <c r="AA12" i="15"/>
  <c r="Z12" i="15"/>
  <c r="Y12" i="15"/>
  <c r="X12" i="15"/>
  <c r="W12" i="15"/>
  <c r="V12" i="15"/>
  <c r="U12" i="15"/>
  <c r="T12" i="15"/>
  <c r="S12" i="15"/>
  <c r="R12" i="15"/>
  <c r="P12" i="15"/>
  <c r="AA11" i="15"/>
  <c r="Z11" i="15"/>
  <c r="Y11" i="15"/>
  <c r="X11" i="15"/>
  <c r="W11" i="15"/>
  <c r="V11" i="15"/>
  <c r="U11" i="15"/>
  <c r="T11" i="15"/>
  <c r="S11" i="15"/>
  <c r="R11" i="15"/>
  <c r="P11" i="15"/>
  <c r="AB21" i="15" l="1"/>
  <c r="AB153" i="15"/>
  <c r="AC153" i="15" s="1"/>
  <c r="AB156" i="15"/>
  <c r="AC156" i="15" s="1"/>
  <c r="D127" i="17" s="1"/>
  <c r="AB160" i="15"/>
  <c r="AC160" i="15" s="1"/>
  <c r="D131" i="17" s="1"/>
  <c r="AB164" i="15"/>
  <c r="AC164" i="15" s="1"/>
  <c r="D135" i="17" s="1"/>
  <c r="AB25" i="15"/>
  <c r="AC25" i="15" s="1"/>
  <c r="D20" i="17" s="1"/>
  <c r="AB27" i="15"/>
  <c r="AC27" i="15" s="1"/>
  <c r="D21" i="17" s="1"/>
  <c r="AB28" i="15"/>
  <c r="AE28" i="15" s="1"/>
  <c r="AB29" i="15"/>
  <c r="AC29" i="15" s="1"/>
  <c r="AB33" i="15"/>
  <c r="AC33" i="15" s="1"/>
  <c r="AB37" i="15"/>
  <c r="AC37" i="15" s="1"/>
  <c r="AB44" i="15"/>
  <c r="AC44" i="15" s="1"/>
  <c r="AB48" i="15"/>
  <c r="AB99" i="15"/>
  <c r="AC99" i="15" s="1"/>
  <c r="AD99" i="15" s="1"/>
  <c r="AB100" i="15"/>
  <c r="AC100" i="15" s="1"/>
  <c r="AB102" i="15"/>
  <c r="AC102" i="15" s="1"/>
  <c r="AB103" i="15"/>
  <c r="AC103" i="15" s="1"/>
  <c r="AD103" i="15" s="1"/>
  <c r="AB104" i="15"/>
  <c r="AC104" i="15" s="1"/>
  <c r="AB106" i="15"/>
  <c r="AB107" i="15"/>
  <c r="AC107" i="15" s="1"/>
  <c r="AD107" i="15" s="1"/>
  <c r="AB108" i="15"/>
  <c r="AC108" i="15" s="1"/>
  <c r="AD108" i="15" s="1"/>
  <c r="AB110" i="15"/>
  <c r="AB111" i="15"/>
  <c r="AC111" i="15" s="1"/>
  <c r="AB112" i="15"/>
  <c r="AC112" i="15" s="1"/>
  <c r="AD112" i="15" s="1"/>
  <c r="AB114" i="15"/>
  <c r="AB115" i="15"/>
  <c r="AC115" i="15" s="1"/>
  <c r="AB116" i="15"/>
  <c r="AC116" i="15" s="1"/>
  <c r="AD116" i="15" s="1"/>
  <c r="AB118" i="15"/>
  <c r="AC118" i="15" s="1"/>
  <c r="AB119" i="15"/>
  <c r="AC119" i="15" s="1"/>
  <c r="AB120" i="15"/>
  <c r="AC120" i="15" s="1"/>
  <c r="AB122" i="15"/>
  <c r="AB123" i="15"/>
  <c r="AC123" i="15" s="1"/>
  <c r="D92" i="17" s="1"/>
  <c r="AB124" i="15"/>
  <c r="AC124" i="15" s="1"/>
  <c r="AB126" i="15"/>
  <c r="AB127" i="15"/>
  <c r="AC127" i="15" s="1"/>
  <c r="AB128" i="15"/>
  <c r="AC128" i="15" s="1"/>
  <c r="D102" i="17" s="1"/>
  <c r="P102" i="17" s="1"/>
  <c r="AB11" i="15"/>
  <c r="AC11" i="15" s="1"/>
  <c r="D7" i="17" s="1"/>
  <c r="AB17" i="15"/>
  <c r="AD29" i="15"/>
  <c r="D23" i="17"/>
  <c r="AD33" i="15"/>
  <c r="D27" i="17"/>
  <c r="AD37" i="15"/>
  <c r="D31" i="17"/>
  <c r="AB12" i="15"/>
  <c r="AC12" i="15" s="1"/>
  <c r="D8" i="17" s="1"/>
  <c r="P20" i="17"/>
  <c r="P21" i="17"/>
  <c r="AD100" i="15"/>
  <c r="AD104" i="15"/>
  <c r="D67" i="17"/>
  <c r="AD111" i="15"/>
  <c r="AD115" i="15"/>
  <c r="D78" i="17"/>
  <c r="D79" i="17"/>
  <c r="AD119" i="15"/>
  <c r="D85" i="17"/>
  <c r="D84" i="17"/>
  <c r="AD120" i="15"/>
  <c r="D86" i="17"/>
  <c r="D87" i="17"/>
  <c r="AD123" i="15"/>
  <c r="AD124" i="15"/>
  <c r="D94" i="17"/>
  <c r="D95" i="17"/>
  <c r="AD127" i="15"/>
  <c r="D100" i="17"/>
  <c r="D101" i="17"/>
  <c r="AB132" i="15"/>
  <c r="AC132" i="15" s="1"/>
  <c r="D105" i="17" s="1"/>
  <c r="AB14" i="15"/>
  <c r="AC14" i="15" s="1"/>
  <c r="D9" i="17" s="1"/>
  <c r="AB18" i="15"/>
  <c r="AB22" i="15"/>
  <c r="AC22" i="15" s="1"/>
  <c r="D17" i="17" s="1"/>
  <c r="AB30" i="15"/>
  <c r="AE30" i="15" s="1"/>
  <c r="AB32" i="15"/>
  <c r="AC32" i="15" s="1"/>
  <c r="AB34" i="15"/>
  <c r="AC34" i="15" s="1"/>
  <c r="AB36" i="15"/>
  <c r="AE36" i="15" s="1"/>
  <c r="AB38" i="15"/>
  <c r="AC38" i="15" s="1"/>
  <c r="AB40" i="15"/>
  <c r="AC40" i="15" s="1"/>
  <c r="AB52" i="15"/>
  <c r="AC52" i="15" s="1"/>
  <c r="AB56" i="15"/>
  <c r="AB60" i="15"/>
  <c r="AC60" i="15" s="1"/>
  <c r="AB64" i="15"/>
  <c r="AC64" i="15" s="1"/>
  <c r="AB133" i="15"/>
  <c r="AB136" i="15"/>
  <c r="AC136" i="15" s="1"/>
  <c r="D109" i="17" s="1"/>
  <c r="AB98" i="15"/>
  <c r="AB13" i="15"/>
  <c r="AC13" i="15" s="1"/>
  <c r="AB15" i="15"/>
  <c r="AB19" i="15"/>
  <c r="AC19" i="15" s="1"/>
  <c r="D14" i="17" s="1"/>
  <c r="AB23" i="15"/>
  <c r="AB31" i="15"/>
  <c r="AE31" i="15" s="1"/>
  <c r="AB35" i="15"/>
  <c r="AB39" i="15"/>
  <c r="AC39" i="15" s="1"/>
  <c r="AB53" i="15"/>
  <c r="AC53" i="15" s="1"/>
  <c r="AB55" i="15"/>
  <c r="AC55" i="15" s="1"/>
  <c r="AB130" i="15"/>
  <c r="AC130" i="15" s="1"/>
  <c r="D104" i="17" s="1"/>
  <c r="P104" i="17" s="1"/>
  <c r="AB134" i="15"/>
  <c r="AC134" i="15" s="1"/>
  <c r="D107" i="17" s="1"/>
  <c r="AB138" i="15"/>
  <c r="AC138" i="15" s="1"/>
  <c r="AB139" i="15"/>
  <c r="AC139" i="15" s="1"/>
  <c r="AB142" i="15"/>
  <c r="AB143" i="15"/>
  <c r="AC143" i="15" s="1"/>
  <c r="AB146" i="15"/>
  <c r="AE146" i="15" s="1"/>
  <c r="AB147" i="15"/>
  <c r="AC147" i="15" s="1"/>
  <c r="AB150" i="15"/>
  <c r="AC150" i="15" s="1"/>
  <c r="D123" i="17" s="1"/>
  <c r="AB155" i="15"/>
  <c r="AC155" i="15" s="1"/>
  <c r="D126" i="17" s="1"/>
  <c r="AB157" i="15"/>
  <c r="AB159" i="15"/>
  <c r="AC159" i="15" s="1"/>
  <c r="D130" i="17" s="1"/>
  <c r="AB163" i="15"/>
  <c r="AC163" i="15" s="1"/>
  <c r="D134" i="17" s="1"/>
  <c r="AB165" i="15"/>
  <c r="AC165" i="15" s="1"/>
  <c r="AB167" i="15"/>
  <c r="AC167" i="15" s="1"/>
  <c r="AB16" i="15"/>
  <c r="AC16" i="15" s="1"/>
  <c r="D11" i="17" s="1"/>
  <c r="AB20" i="15"/>
  <c r="AB24" i="15"/>
  <c r="AC24" i="15" s="1"/>
  <c r="D19" i="17" s="1"/>
  <c r="AB57" i="15"/>
  <c r="AC57" i="15" s="1"/>
  <c r="AB61" i="15"/>
  <c r="AC61" i="15" s="1"/>
  <c r="AB65" i="15"/>
  <c r="AC65" i="15" s="1"/>
  <c r="AB131" i="15"/>
  <c r="AC131" i="15" s="1"/>
  <c r="AB135" i="15"/>
  <c r="AC135" i="15" s="1"/>
  <c r="D108" i="17" s="1"/>
  <c r="AB154" i="15"/>
  <c r="AC154" i="15" s="1"/>
  <c r="AE19" i="15"/>
  <c r="AE12" i="15"/>
  <c r="AC15" i="15"/>
  <c r="D10" i="17" s="1"/>
  <c r="AE15" i="15"/>
  <c r="AC23" i="15"/>
  <c r="D18" i="17" s="1"/>
  <c r="AE23" i="15"/>
  <c r="AC35" i="15"/>
  <c r="AE35" i="15"/>
  <c r="AE16" i="15"/>
  <c r="AE20" i="15"/>
  <c r="AC20" i="15"/>
  <c r="D15" i="17" s="1"/>
  <c r="AE27" i="15"/>
  <c r="AC17" i="15"/>
  <c r="D12" i="17" s="1"/>
  <c r="AE17" i="15"/>
  <c r="AC21" i="15"/>
  <c r="D16" i="17" s="1"/>
  <c r="AE21" i="15"/>
  <c r="AC28" i="15"/>
  <c r="D22" i="17" s="1"/>
  <c r="AC48" i="15"/>
  <c r="AE48" i="15"/>
  <c r="AC18" i="15"/>
  <c r="D13" i="17" s="1"/>
  <c r="AE18" i="15"/>
  <c r="AE32" i="15"/>
  <c r="AC36" i="15"/>
  <c r="AE34" i="15"/>
  <c r="AE38" i="15"/>
  <c r="P92" i="15"/>
  <c r="AC30" i="15"/>
  <c r="AE99" i="15"/>
  <c r="AE103" i="15"/>
  <c r="AE107" i="15"/>
  <c r="AE111" i="15"/>
  <c r="AE115" i="15"/>
  <c r="AE119" i="15"/>
  <c r="AE123" i="15"/>
  <c r="AE127" i="15"/>
  <c r="AB151" i="15"/>
  <c r="AB161" i="15"/>
  <c r="AC142" i="15"/>
  <c r="AE142" i="15"/>
  <c r="AE163" i="15"/>
  <c r="AE11" i="15"/>
  <c r="AB26" i="15"/>
  <c r="AC26" i="15" s="1"/>
  <c r="AB41" i="15"/>
  <c r="AC41" i="15" s="1"/>
  <c r="AB46" i="15"/>
  <c r="AC46" i="15" s="1"/>
  <c r="AB49" i="15"/>
  <c r="AC49" i="15" s="1"/>
  <c r="AB54" i="15"/>
  <c r="AE60" i="15"/>
  <c r="AB62" i="15"/>
  <c r="AE100" i="15"/>
  <c r="AE104" i="15"/>
  <c r="AE108" i="15"/>
  <c r="AE116" i="15"/>
  <c r="AE120" i="15"/>
  <c r="AE124" i="15"/>
  <c r="AC133" i="15"/>
  <c r="D106" i="17" s="1"/>
  <c r="AE133" i="15"/>
  <c r="AC146" i="15"/>
  <c r="AE155" i="15"/>
  <c r="AE25" i="15"/>
  <c r="AE29" i="15"/>
  <c r="AE33" i="15"/>
  <c r="AE37" i="15"/>
  <c r="AB42" i="15"/>
  <c r="AC42" i="15" s="1"/>
  <c r="AB45" i="15"/>
  <c r="AC45" i="15" s="1"/>
  <c r="AB50" i="15"/>
  <c r="AC50" i="15" s="1"/>
  <c r="AE52" i="15"/>
  <c r="AB58" i="15"/>
  <c r="AB66" i="15"/>
  <c r="AC66" i="15" s="1"/>
  <c r="AC98" i="15"/>
  <c r="AE98" i="15"/>
  <c r="AC106" i="15"/>
  <c r="AD106" i="15" s="1"/>
  <c r="AE106" i="15"/>
  <c r="AC110" i="15"/>
  <c r="AD110" i="15" s="1"/>
  <c r="AE110" i="15"/>
  <c r="AC114" i="15"/>
  <c r="AD114" i="15" s="1"/>
  <c r="AE114" i="15"/>
  <c r="AC122" i="15"/>
  <c r="AE122" i="15"/>
  <c r="AC126" i="15"/>
  <c r="AE126" i="15"/>
  <c r="AE134" i="15"/>
  <c r="AE139" i="15"/>
  <c r="AB43" i="15"/>
  <c r="AB47" i="15"/>
  <c r="AB51" i="15"/>
  <c r="AC51" i="15" s="1"/>
  <c r="AD51" i="15" s="1"/>
  <c r="AE53" i="15"/>
  <c r="AE57" i="15"/>
  <c r="AB59" i="15"/>
  <c r="AE61" i="15"/>
  <c r="AB63" i="15"/>
  <c r="AE65" i="15"/>
  <c r="AE66" i="15"/>
  <c r="AB67" i="15"/>
  <c r="P199" i="15"/>
  <c r="AB101" i="15"/>
  <c r="AC101" i="15" s="1"/>
  <c r="AD101" i="15" s="1"/>
  <c r="AB105" i="15"/>
  <c r="AC105" i="15" s="1"/>
  <c r="AB109" i="15"/>
  <c r="AC109" i="15" s="1"/>
  <c r="AB113" i="15"/>
  <c r="AC113" i="15" s="1"/>
  <c r="AB117" i="15"/>
  <c r="AC117" i="15" s="1"/>
  <c r="AB121" i="15"/>
  <c r="AC121" i="15" s="1"/>
  <c r="AB125" i="15"/>
  <c r="AC125" i="15" s="1"/>
  <c r="AB129" i="15"/>
  <c r="AE132" i="15"/>
  <c r="AB137" i="15"/>
  <c r="AB141" i="15"/>
  <c r="AB145" i="15"/>
  <c r="AB149" i="15"/>
  <c r="AE150" i="15"/>
  <c r="AB152" i="15"/>
  <c r="AE156" i="15"/>
  <c r="AB158" i="15"/>
  <c r="AB162" i="15"/>
  <c r="AE164" i="15"/>
  <c r="AB166" i="15"/>
  <c r="AC166" i="15" s="1"/>
  <c r="D136" i="17" s="1"/>
  <c r="AE105" i="15"/>
  <c r="AE121" i="15"/>
  <c r="AE130" i="15"/>
  <c r="AB140" i="15"/>
  <c r="AC140" i="15" s="1"/>
  <c r="AB144" i="15"/>
  <c r="AC144" i="15" s="1"/>
  <c r="AB148" i="15"/>
  <c r="AC148" i="15" s="1"/>
  <c r="AE160" i="15" l="1"/>
  <c r="AE128" i="15"/>
  <c r="AE112" i="15"/>
  <c r="AE159" i="15"/>
  <c r="AE44" i="15"/>
  <c r="D71" i="17"/>
  <c r="AE118" i="15"/>
  <c r="AE102" i="15"/>
  <c r="AE55" i="15"/>
  <c r="AC31" i="15"/>
  <c r="AD31" i="15" s="1"/>
  <c r="D93" i="17"/>
  <c r="D75" i="17"/>
  <c r="D70" i="17"/>
  <c r="AE147" i="15"/>
  <c r="AE64" i="15"/>
  <c r="D74" i="17"/>
  <c r="P17" i="17"/>
  <c r="AD39" i="15"/>
  <c r="D33" i="17"/>
  <c r="P14" i="17"/>
  <c r="AE63" i="15"/>
  <c r="AC63" i="15"/>
  <c r="AD36" i="15"/>
  <c r="D30" i="17"/>
  <c r="AD113" i="15"/>
  <c r="D77" i="17"/>
  <c r="D76" i="17"/>
  <c r="AD46" i="15"/>
  <c r="D40" i="17"/>
  <c r="P11" i="17"/>
  <c r="P19" i="17"/>
  <c r="AE56" i="15"/>
  <c r="AC56" i="15"/>
  <c r="P31" i="17"/>
  <c r="AD144" i="15"/>
  <c r="D117" i="17"/>
  <c r="AE113" i="15"/>
  <c r="AE162" i="15"/>
  <c r="AC162" i="15"/>
  <c r="D133" i="17" s="1"/>
  <c r="AE152" i="15"/>
  <c r="AC152" i="15"/>
  <c r="D125" i="17" s="1"/>
  <c r="AD125" i="15"/>
  <c r="D96" i="17"/>
  <c r="D97" i="17"/>
  <c r="AD109" i="15"/>
  <c r="D72" i="17"/>
  <c r="D73" i="17"/>
  <c r="AE67" i="15"/>
  <c r="AC67" i="15"/>
  <c r="AD67" i="15" s="1"/>
  <c r="AE143" i="15"/>
  <c r="AD66" i="15"/>
  <c r="D59" i="17"/>
  <c r="AD50" i="15"/>
  <c r="D44" i="17"/>
  <c r="AD146" i="15"/>
  <c r="D119" i="17"/>
  <c r="AD41" i="15"/>
  <c r="D35" i="17"/>
  <c r="P13" i="17"/>
  <c r="AD44" i="15"/>
  <c r="D38" i="17"/>
  <c r="P16" i="17"/>
  <c r="P15" i="17"/>
  <c r="AD35" i="15"/>
  <c r="D29" i="17"/>
  <c r="P10" i="17"/>
  <c r="D58" i="17"/>
  <c r="AD65" i="15"/>
  <c r="AD52" i="15"/>
  <c r="D45" i="17"/>
  <c r="AD34" i="15"/>
  <c r="D28" i="17"/>
  <c r="D63" i="17"/>
  <c r="AD148" i="15"/>
  <c r="D121" i="17"/>
  <c r="P23" i="17"/>
  <c r="AD140" i="15"/>
  <c r="D113" i="17"/>
  <c r="AD121" i="15"/>
  <c r="D88" i="17"/>
  <c r="D89" i="17"/>
  <c r="AD105" i="15"/>
  <c r="D69" i="17"/>
  <c r="D68" i="17"/>
  <c r="AE59" i="15"/>
  <c r="AC59" i="15"/>
  <c r="AD126" i="15"/>
  <c r="D98" i="17"/>
  <c r="D99" i="17"/>
  <c r="AD118" i="15"/>
  <c r="D82" i="17"/>
  <c r="D83" i="17"/>
  <c r="AD102" i="15"/>
  <c r="D66" i="17"/>
  <c r="D65" i="17"/>
  <c r="AD45" i="15"/>
  <c r="D39" i="17"/>
  <c r="AD142" i="15"/>
  <c r="D115" i="17"/>
  <c r="AE151" i="15"/>
  <c r="AC151" i="15"/>
  <c r="D124" i="17" s="1"/>
  <c r="AE22" i="15"/>
  <c r="AE39" i="15"/>
  <c r="AD61" i="15"/>
  <c r="D54" i="17"/>
  <c r="AD147" i="15"/>
  <c r="D120" i="17"/>
  <c r="AD139" i="15"/>
  <c r="D112" i="17"/>
  <c r="AD55" i="15"/>
  <c r="D48" i="17"/>
  <c r="AD64" i="15"/>
  <c r="D57" i="17"/>
  <c r="AD40" i="15"/>
  <c r="D34" i="17"/>
  <c r="AD32" i="15"/>
  <c r="D26" i="17"/>
  <c r="P9" i="17"/>
  <c r="D64" i="17"/>
  <c r="P27" i="17"/>
  <c r="AD122" i="15"/>
  <c r="D90" i="17"/>
  <c r="D91" i="17"/>
  <c r="AD98" i="15"/>
  <c r="D62" i="17"/>
  <c r="D61" i="17"/>
  <c r="AE62" i="15"/>
  <c r="AC62" i="15"/>
  <c r="AE161" i="15"/>
  <c r="AC161" i="15"/>
  <c r="D132" i="17" s="1"/>
  <c r="AD143" i="15"/>
  <c r="D116" i="17"/>
  <c r="AE158" i="15"/>
  <c r="AC158" i="15"/>
  <c r="D129" i="17" s="1"/>
  <c r="AD117" i="15"/>
  <c r="D80" i="17"/>
  <c r="D81" i="17"/>
  <c r="AE136" i="15"/>
  <c r="AE58" i="15"/>
  <c r="AC58" i="15"/>
  <c r="AD42" i="15"/>
  <c r="D36" i="17"/>
  <c r="AD49" i="15"/>
  <c r="D43" i="17"/>
  <c r="AE50" i="15"/>
  <c r="AD30" i="15"/>
  <c r="D24" i="17"/>
  <c r="AD48" i="15"/>
  <c r="D42" i="17"/>
  <c r="P22" i="17"/>
  <c r="P12" i="17"/>
  <c r="P18" i="17"/>
  <c r="D25" i="17"/>
  <c r="AD57" i="15"/>
  <c r="D50" i="17"/>
  <c r="AE157" i="15"/>
  <c r="AC157" i="15"/>
  <c r="D128" i="17" s="1"/>
  <c r="AD138" i="15"/>
  <c r="D111" i="17"/>
  <c r="AD53" i="15"/>
  <c r="D46" i="17"/>
  <c r="AD60" i="15"/>
  <c r="D53" i="17"/>
  <c r="AD38" i="15"/>
  <c r="D32" i="17"/>
  <c r="P8" i="17"/>
  <c r="P7" i="17"/>
  <c r="AE125" i="15"/>
  <c r="AE109" i="15"/>
  <c r="AE131" i="15"/>
  <c r="AE138" i="15"/>
  <c r="AE14" i="15"/>
  <c r="AE24" i="15"/>
  <c r="AE117" i="15"/>
  <c r="AE101" i="15"/>
  <c r="AE148" i="15"/>
  <c r="AE40" i="15"/>
  <c r="AE135" i="15"/>
  <c r="AC149" i="15"/>
  <c r="AE149" i="15"/>
  <c r="AC141" i="15"/>
  <c r="AE141" i="15"/>
  <c r="AC43" i="15"/>
  <c r="AE43" i="15"/>
  <c r="AC54" i="15"/>
  <c r="AE54" i="15"/>
  <c r="AE45" i="15"/>
  <c r="AC137" i="15"/>
  <c r="AE137" i="15"/>
  <c r="AE140" i="15"/>
  <c r="AE166" i="15"/>
  <c r="AC145" i="15"/>
  <c r="AE145" i="15"/>
  <c r="AC129" i="15"/>
  <c r="D103" i="17" s="1"/>
  <c r="P103" i="17" s="1"/>
  <c r="AE129" i="15"/>
  <c r="AC47" i="15"/>
  <c r="AE47" i="15"/>
  <c r="AE144" i="15"/>
  <c r="AE49" i="15"/>
  <c r="AE41" i="15"/>
  <c r="AE46" i="15"/>
  <c r="AE42" i="15"/>
  <c r="P34" i="17" l="1"/>
  <c r="P48" i="17"/>
  <c r="D52" i="17"/>
  <c r="AD59" i="15"/>
  <c r="P28" i="17"/>
  <c r="P38" i="17"/>
  <c r="P40" i="17"/>
  <c r="AD54" i="15"/>
  <c r="D47" i="17"/>
  <c r="AD141" i="15"/>
  <c r="D114" i="17"/>
  <c r="P53" i="17"/>
  <c r="P50" i="17"/>
  <c r="P25" i="17"/>
  <c r="P42" i="17"/>
  <c r="AD58" i="15"/>
  <c r="D51" i="17"/>
  <c r="AD62" i="15"/>
  <c r="D55" i="17"/>
  <c r="P54" i="17"/>
  <c r="P39" i="17"/>
  <c r="P29" i="17"/>
  <c r="P35" i="17"/>
  <c r="P44" i="17"/>
  <c r="P30" i="17"/>
  <c r="AD47" i="15"/>
  <c r="D41" i="17"/>
  <c r="AD145" i="15"/>
  <c r="D118" i="17"/>
  <c r="AD137" i="15"/>
  <c r="D110" i="17"/>
  <c r="P43" i="17"/>
  <c r="P26" i="17"/>
  <c r="P57" i="17"/>
  <c r="P45" i="17"/>
  <c r="P58" i="17"/>
  <c r="AD56" i="15"/>
  <c r="D49" i="17"/>
  <c r="AD43" i="15"/>
  <c r="D37" i="17"/>
  <c r="AD149" i="15"/>
  <c r="D122" i="17"/>
  <c r="P32" i="17"/>
  <c r="P46" i="17"/>
  <c r="P24" i="17"/>
  <c r="P36" i="17"/>
  <c r="P59" i="17"/>
  <c r="D56" i="17"/>
  <c r="AD63" i="15"/>
  <c r="P33" i="17"/>
  <c r="B57" i="4"/>
  <c r="D139" i="17" l="1"/>
  <c r="P49" i="17"/>
  <c r="P55" i="17"/>
  <c r="P37" i="17"/>
  <c r="D60" i="17"/>
  <c r="P41" i="17"/>
  <c r="P51" i="17"/>
  <c r="P52" i="17"/>
  <c r="P56" i="17"/>
  <c r="P47" i="17"/>
  <c r="B7" i="4"/>
  <c r="B8" i="4"/>
  <c r="B9" i="4"/>
  <c r="B10" i="4"/>
  <c r="E77" i="17" l="1"/>
  <c r="E95" i="17"/>
  <c r="E71" i="17"/>
  <c r="E83" i="17"/>
  <c r="E89" i="17"/>
  <c r="E64" i="17"/>
  <c r="D140" i="17"/>
  <c r="P60" i="17"/>
  <c r="D9" i="4"/>
  <c r="C8" i="4"/>
  <c r="E8" i="4"/>
  <c r="G8" i="4"/>
  <c r="F9" i="4"/>
  <c r="C9" i="4"/>
  <c r="D8" i="4"/>
  <c r="F8" i="4"/>
  <c r="H8" i="4"/>
  <c r="C10" i="4"/>
  <c r="H10" i="4"/>
  <c r="E9" i="4"/>
  <c r="G9" i="4"/>
  <c r="H9" i="4"/>
  <c r="C7" i="4"/>
  <c r="D7" i="4"/>
  <c r="E7" i="4"/>
  <c r="F7" i="4"/>
  <c r="G7" i="4"/>
  <c r="H7" i="4"/>
  <c r="G10" i="4" l="1"/>
  <c r="F10" i="4"/>
  <c r="E10" i="4"/>
  <c r="D10" i="4"/>
  <c r="G53" i="4" l="1"/>
  <c r="G54" i="4"/>
  <c r="C53" i="4"/>
  <c r="B13" i="4"/>
  <c r="B12" i="4"/>
  <c r="B11" i="4"/>
  <c r="M108" i="17" l="1"/>
  <c r="P108" i="17" s="1"/>
  <c r="M107" i="17"/>
  <c r="P107" i="17" s="1"/>
  <c r="M109" i="17"/>
  <c r="P109" i="17" s="1"/>
  <c r="M106" i="17"/>
  <c r="P106" i="17" s="1"/>
  <c r="M105" i="17"/>
  <c r="P105" i="17" s="1"/>
  <c r="E120" i="17"/>
  <c r="F120" i="17" s="1"/>
  <c r="E114" i="17"/>
  <c r="F114" i="17" s="1"/>
  <c r="E107" i="17"/>
  <c r="F107" i="17" s="1"/>
  <c r="H107" i="17" s="1"/>
  <c r="E45" i="17"/>
  <c r="F45" i="17" s="1"/>
  <c r="H45" i="17" s="1"/>
  <c r="E31" i="17"/>
  <c r="F31" i="17" s="1"/>
  <c r="H31" i="17" s="1"/>
  <c r="E115" i="17"/>
  <c r="F115" i="17" s="1"/>
  <c r="E104" i="17"/>
  <c r="F104" i="17" s="1"/>
  <c r="H104" i="17" s="1"/>
  <c r="E119" i="17"/>
  <c r="F119" i="17" s="1"/>
  <c r="E110" i="17"/>
  <c r="F110" i="17" s="1"/>
  <c r="E106" i="17"/>
  <c r="F106" i="17" s="1"/>
  <c r="H106" i="17" s="1"/>
  <c r="E44" i="17"/>
  <c r="F44" i="17" s="1"/>
  <c r="H44" i="17" s="1"/>
  <c r="E30" i="17"/>
  <c r="F30" i="17" s="1"/>
  <c r="H30" i="17" s="1"/>
  <c r="E118" i="17"/>
  <c r="F118" i="17" s="1"/>
  <c r="E109" i="17"/>
  <c r="F109" i="17" s="1"/>
  <c r="H109" i="17" s="1"/>
  <c r="E105" i="17"/>
  <c r="F105" i="17" s="1"/>
  <c r="H105" i="17" s="1"/>
  <c r="E29" i="17"/>
  <c r="F29" i="17" s="1"/>
  <c r="H29" i="17" s="1"/>
  <c r="E108" i="17"/>
  <c r="F108" i="17" s="1"/>
  <c r="H108" i="17" s="1"/>
  <c r="E144" i="17"/>
  <c r="H144" i="17" s="1"/>
  <c r="E145" i="17"/>
  <c r="H145" i="17" s="1"/>
  <c r="E146" i="17"/>
  <c r="H146" i="17" s="1"/>
  <c r="E111" i="17"/>
  <c r="F111" i="17" s="1"/>
  <c r="E93" i="17"/>
  <c r="E69" i="17"/>
  <c r="E18" i="17"/>
  <c r="F18" i="17" s="1"/>
  <c r="H18" i="17" s="1"/>
  <c r="E28" i="17"/>
  <c r="F28" i="17" s="1"/>
  <c r="H28" i="17" s="1"/>
  <c r="E8" i="17"/>
  <c r="F8" i="17" s="1"/>
  <c r="H8" i="17" s="1"/>
  <c r="E99" i="17"/>
  <c r="F99" i="17" s="1"/>
  <c r="E19" i="17"/>
  <c r="F19" i="17" s="1"/>
  <c r="H19" i="17" s="1"/>
  <c r="E42" i="17"/>
  <c r="F42" i="17" s="1"/>
  <c r="H42" i="17" s="1"/>
  <c r="E103" i="17"/>
  <c r="F103" i="17" s="1"/>
  <c r="H103" i="17" s="1"/>
  <c r="E87" i="17"/>
  <c r="F87" i="17" s="1"/>
  <c r="E62" i="17"/>
  <c r="E17" i="17"/>
  <c r="F17" i="17" s="1"/>
  <c r="H17" i="17" s="1"/>
  <c r="E27" i="17"/>
  <c r="F27" i="17" s="1"/>
  <c r="H27" i="17" s="1"/>
  <c r="E7" i="17"/>
  <c r="F7" i="17" s="1"/>
  <c r="E117" i="17"/>
  <c r="F117" i="17" s="1"/>
  <c r="E102" i="17"/>
  <c r="F102" i="17" s="1"/>
  <c r="H102" i="17" s="1"/>
  <c r="E81" i="17"/>
  <c r="E20" i="17"/>
  <c r="F20" i="17" s="1"/>
  <c r="H20" i="17" s="1"/>
  <c r="E16" i="17"/>
  <c r="F16" i="17" s="1"/>
  <c r="H16" i="17" s="1"/>
  <c r="E43" i="17"/>
  <c r="F43" i="17" s="1"/>
  <c r="H43" i="17" s="1"/>
  <c r="E15" i="17"/>
  <c r="F15" i="17" s="1"/>
  <c r="H15" i="17" s="1"/>
  <c r="E116" i="17"/>
  <c r="F116" i="17" s="1"/>
  <c r="E75" i="17"/>
  <c r="E9" i="17"/>
  <c r="F9" i="17" s="1"/>
  <c r="H9" i="17" s="1"/>
  <c r="E14" i="17"/>
  <c r="F14" i="17" s="1"/>
  <c r="H14" i="17" s="1"/>
  <c r="E37" i="17"/>
  <c r="F37" i="17" s="1"/>
  <c r="H37" i="17" s="1"/>
  <c r="E36" i="17"/>
  <c r="F36" i="17" s="1"/>
  <c r="H36" i="17" s="1"/>
  <c r="E35" i="17"/>
  <c r="F35" i="17" s="1"/>
  <c r="H35" i="17" s="1"/>
  <c r="E34" i="17"/>
  <c r="F34" i="17" s="1"/>
  <c r="H34" i="17" s="1"/>
  <c r="E113" i="17"/>
  <c r="F113" i="17" s="1"/>
  <c r="E91" i="17"/>
  <c r="F91" i="17" s="1"/>
  <c r="E66" i="17"/>
  <c r="E22" i="17"/>
  <c r="F22" i="17" s="1"/>
  <c r="H22" i="17" s="1"/>
  <c r="E47" i="17"/>
  <c r="F47" i="17" s="1"/>
  <c r="H47" i="17" s="1"/>
  <c r="E112" i="17"/>
  <c r="F112" i="17" s="1"/>
  <c r="E85" i="17"/>
  <c r="E21" i="17"/>
  <c r="F21" i="17" s="1"/>
  <c r="H21" i="17" s="1"/>
  <c r="E121" i="17"/>
  <c r="F121" i="17" s="1"/>
  <c r="E97" i="17"/>
  <c r="F97" i="17" s="1"/>
  <c r="E122" i="17"/>
  <c r="F122" i="17" s="1"/>
  <c r="E101" i="17"/>
  <c r="E79" i="17"/>
  <c r="F79" i="17" s="1"/>
  <c r="E46" i="17"/>
  <c r="F46" i="17" s="1"/>
  <c r="H46" i="17" s="1"/>
  <c r="E48" i="17"/>
  <c r="F48" i="17" s="1"/>
  <c r="H48" i="17" s="1"/>
  <c r="E33" i="17"/>
  <c r="F33" i="17" s="1"/>
  <c r="H33" i="17" s="1"/>
  <c r="E73" i="17"/>
  <c r="F73" i="17" s="1"/>
  <c r="E32" i="17"/>
  <c r="F32" i="17" s="1"/>
  <c r="H32" i="17" s="1"/>
  <c r="E25" i="17"/>
  <c r="F25" i="17" s="1"/>
  <c r="H25" i="17" s="1"/>
  <c r="E26" i="17"/>
  <c r="F26" i="17" s="1"/>
  <c r="H26" i="17" s="1"/>
  <c r="E40" i="17"/>
  <c r="F40" i="17" s="1"/>
  <c r="H40" i="17" s="1"/>
  <c r="E41" i="17"/>
  <c r="F41" i="17" s="1"/>
  <c r="H41" i="17" s="1"/>
  <c r="E148" i="17"/>
  <c r="F148" i="17" s="1"/>
  <c r="H148" i="17" s="1"/>
  <c r="E151" i="17"/>
  <c r="F151" i="17" s="1"/>
  <c r="H151" i="17" s="1"/>
  <c r="E147" i="17"/>
  <c r="F147" i="17" s="1"/>
  <c r="H147" i="17" s="1"/>
  <c r="E150" i="17"/>
  <c r="F150" i="17" s="1"/>
  <c r="H150" i="17" s="1"/>
  <c r="E149" i="17"/>
  <c r="F149" i="17" s="1"/>
  <c r="H149" i="17" s="1"/>
  <c r="E100" i="17"/>
  <c r="F100" i="17" s="1"/>
  <c r="E92" i="17"/>
  <c r="F92" i="17" s="1"/>
  <c r="E84" i="17"/>
  <c r="F84" i="17" s="1"/>
  <c r="E78" i="17"/>
  <c r="F78" i="17" s="1"/>
  <c r="E70" i="17"/>
  <c r="F70" i="17" s="1"/>
  <c r="E61" i="17"/>
  <c r="F61" i="17" s="1"/>
  <c r="E67" i="17"/>
  <c r="F67" i="17" s="1"/>
  <c r="E86" i="17"/>
  <c r="F86" i="17" s="1"/>
  <c r="E76" i="17"/>
  <c r="F76" i="17" s="1"/>
  <c r="E68" i="17"/>
  <c r="F68" i="17" s="1"/>
  <c r="E154" i="17"/>
  <c r="F154" i="17" s="1"/>
  <c r="H154" i="17" s="1"/>
  <c r="E98" i="17"/>
  <c r="F98" i="17" s="1"/>
  <c r="E90" i="17"/>
  <c r="F90" i="17" s="1"/>
  <c r="E82" i="17"/>
  <c r="F82" i="17" s="1"/>
  <c r="E80" i="17"/>
  <c r="F80" i="17" s="1"/>
  <c r="E72" i="17"/>
  <c r="F72" i="17" s="1"/>
  <c r="E63" i="17"/>
  <c r="F63" i="17" s="1"/>
  <c r="E152" i="17"/>
  <c r="F152" i="17" s="1"/>
  <c r="H152" i="17" s="1"/>
  <c r="E94" i="17"/>
  <c r="F94" i="17" s="1"/>
  <c r="E153" i="17"/>
  <c r="F153" i="17" s="1"/>
  <c r="H153" i="17" s="1"/>
  <c r="E96" i="17"/>
  <c r="F96" i="17" s="1"/>
  <c r="E88" i="17"/>
  <c r="F88" i="17" s="1"/>
  <c r="E74" i="17"/>
  <c r="F74" i="17" s="1"/>
  <c r="E65" i="17"/>
  <c r="F65" i="17" s="1"/>
  <c r="E135" i="17"/>
  <c r="F135" i="17" s="1"/>
  <c r="E132" i="17"/>
  <c r="F132" i="17" s="1"/>
  <c r="E128" i="17"/>
  <c r="F128" i="17" s="1"/>
  <c r="E124" i="17"/>
  <c r="F124" i="17" s="1"/>
  <c r="E56" i="17"/>
  <c r="F56" i="17" s="1"/>
  <c r="H56" i="17" s="1"/>
  <c r="E52" i="17"/>
  <c r="F52" i="17" s="1"/>
  <c r="H52" i="17" s="1"/>
  <c r="E39" i="17"/>
  <c r="F39" i="17" s="1"/>
  <c r="H39" i="17" s="1"/>
  <c r="E24" i="17"/>
  <c r="F24" i="17" s="1"/>
  <c r="H24" i="17" s="1"/>
  <c r="E11" i="17"/>
  <c r="F11" i="17" s="1"/>
  <c r="H11" i="17" s="1"/>
  <c r="E129" i="17"/>
  <c r="F129" i="17" s="1"/>
  <c r="E134" i="17"/>
  <c r="F134" i="17" s="1"/>
  <c r="E131" i="17"/>
  <c r="F131" i="17" s="1"/>
  <c r="E127" i="17"/>
  <c r="F127" i="17" s="1"/>
  <c r="E123" i="17"/>
  <c r="F123" i="17" s="1"/>
  <c r="E59" i="17"/>
  <c r="F59" i="17" s="1"/>
  <c r="H59" i="17" s="1"/>
  <c r="E55" i="17"/>
  <c r="F55" i="17" s="1"/>
  <c r="H55" i="17" s="1"/>
  <c r="E51" i="17"/>
  <c r="F51" i="17" s="1"/>
  <c r="H51" i="17" s="1"/>
  <c r="E38" i="17"/>
  <c r="F38" i="17" s="1"/>
  <c r="H38" i="17" s="1"/>
  <c r="E23" i="17"/>
  <c r="F23" i="17" s="1"/>
  <c r="H23" i="17" s="1"/>
  <c r="E10" i="17"/>
  <c r="F10" i="17" s="1"/>
  <c r="H10" i="17" s="1"/>
  <c r="E125" i="17"/>
  <c r="F125" i="17" s="1"/>
  <c r="E53" i="17"/>
  <c r="F53" i="17" s="1"/>
  <c r="H53" i="17" s="1"/>
  <c r="E12" i="17"/>
  <c r="F12" i="17" s="1"/>
  <c r="H12" i="17" s="1"/>
  <c r="E130" i="17"/>
  <c r="F130" i="17" s="1"/>
  <c r="E126" i="17"/>
  <c r="F126" i="17" s="1"/>
  <c r="E58" i="17"/>
  <c r="F58" i="17" s="1"/>
  <c r="H58" i="17" s="1"/>
  <c r="E54" i="17"/>
  <c r="F54" i="17" s="1"/>
  <c r="H54" i="17" s="1"/>
  <c r="E50" i="17"/>
  <c r="F50" i="17" s="1"/>
  <c r="H50" i="17" s="1"/>
  <c r="E13" i="17"/>
  <c r="F13" i="17" s="1"/>
  <c r="H13" i="17" s="1"/>
  <c r="E136" i="17"/>
  <c r="F136" i="17" s="1"/>
  <c r="E133" i="17"/>
  <c r="F133" i="17" s="1"/>
  <c r="E57" i="17"/>
  <c r="F57" i="17" s="1"/>
  <c r="H57" i="17" s="1"/>
  <c r="E49" i="17"/>
  <c r="F49" i="17" s="1"/>
  <c r="H49" i="17" s="1"/>
  <c r="G56" i="4"/>
  <c r="G58" i="4" s="1"/>
  <c r="H12" i="4"/>
  <c r="G12" i="4"/>
  <c r="F12" i="4"/>
  <c r="E12" i="4"/>
  <c r="D12" i="4"/>
  <c r="C12" i="4"/>
  <c r="H11" i="4"/>
  <c r="C11" i="4"/>
  <c r="G11" i="4"/>
  <c r="F11" i="4"/>
  <c r="E11" i="4"/>
  <c r="D11" i="4"/>
  <c r="H13" i="4"/>
  <c r="G13" i="4"/>
  <c r="F13" i="4"/>
  <c r="E13" i="4"/>
  <c r="D13" i="4"/>
  <c r="C13" i="4"/>
  <c r="P133" i="17" l="1"/>
  <c r="H133" i="17"/>
  <c r="P74" i="17"/>
  <c r="H74" i="17"/>
  <c r="P80" i="17"/>
  <c r="H80" i="17"/>
  <c r="P67" i="17"/>
  <c r="H67" i="17"/>
  <c r="P97" i="17"/>
  <c r="H97" i="17"/>
  <c r="F75" i="17"/>
  <c r="P119" i="17"/>
  <c r="H119" i="17"/>
  <c r="P68" i="17"/>
  <c r="H68" i="17"/>
  <c r="H92" i="17"/>
  <c r="P92" i="17"/>
  <c r="P79" i="17"/>
  <c r="H79" i="17"/>
  <c r="P121" i="17"/>
  <c r="H121" i="17"/>
  <c r="P116" i="17"/>
  <c r="H116" i="17"/>
  <c r="H7" i="17"/>
  <c r="F60" i="17"/>
  <c r="H99" i="17"/>
  <c r="P99" i="17"/>
  <c r="F69" i="17"/>
  <c r="P126" i="17"/>
  <c r="H126" i="17"/>
  <c r="H125" i="17"/>
  <c r="P125" i="17"/>
  <c r="P127" i="17"/>
  <c r="H127" i="17"/>
  <c r="P135" i="17"/>
  <c r="H135" i="17"/>
  <c r="H96" i="17"/>
  <c r="P96" i="17"/>
  <c r="P63" i="17"/>
  <c r="H63" i="17"/>
  <c r="F64" i="17"/>
  <c r="P90" i="17"/>
  <c r="H90" i="17"/>
  <c r="P76" i="17"/>
  <c r="H76" i="17"/>
  <c r="F77" i="17"/>
  <c r="H70" i="17"/>
  <c r="P70" i="17"/>
  <c r="F71" i="17"/>
  <c r="H100" i="17"/>
  <c r="P100" i="17"/>
  <c r="F101" i="17"/>
  <c r="F81" i="17"/>
  <c r="F93" i="17"/>
  <c r="P115" i="17"/>
  <c r="H115" i="17"/>
  <c r="P114" i="17"/>
  <c r="H114" i="17"/>
  <c r="P134" i="17"/>
  <c r="H134" i="17"/>
  <c r="H128" i="17"/>
  <c r="P128" i="17"/>
  <c r="H94" i="17"/>
  <c r="P94" i="17"/>
  <c r="F95" i="17"/>
  <c r="P84" i="17"/>
  <c r="H84" i="17"/>
  <c r="P112" i="17"/>
  <c r="H112" i="17"/>
  <c r="P91" i="17"/>
  <c r="H91" i="17"/>
  <c r="P117" i="17"/>
  <c r="H117" i="17"/>
  <c r="H136" i="17"/>
  <c r="P136" i="17"/>
  <c r="P123" i="17"/>
  <c r="H123" i="17"/>
  <c r="H129" i="17"/>
  <c r="P129" i="17"/>
  <c r="P132" i="17"/>
  <c r="H132" i="17"/>
  <c r="H88" i="17"/>
  <c r="P88" i="17"/>
  <c r="F89" i="17"/>
  <c r="H82" i="17"/>
  <c r="P82" i="17"/>
  <c r="F83" i="17"/>
  <c r="F62" i="17"/>
  <c r="H61" i="17"/>
  <c r="P61" i="17"/>
  <c r="P73" i="17"/>
  <c r="H73" i="17"/>
  <c r="P113" i="17"/>
  <c r="H113" i="17"/>
  <c r="H87" i="17"/>
  <c r="P87" i="17"/>
  <c r="H130" i="17"/>
  <c r="P130" i="17"/>
  <c r="H131" i="17"/>
  <c r="P131" i="17"/>
  <c r="H124" i="17"/>
  <c r="P124" i="17"/>
  <c r="P65" i="17"/>
  <c r="H65" i="17"/>
  <c r="H72" i="17"/>
  <c r="P72" i="17"/>
  <c r="H98" i="17"/>
  <c r="P98" i="17"/>
  <c r="P86" i="17"/>
  <c r="H86" i="17"/>
  <c r="H78" i="17"/>
  <c r="P78" i="17"/>
  <c r="P122" i="17"/>
  <c r="H122" i="17"/>
  <c r="F85" i="17"/>
  <c r="F66" i="17"/>
  <c r="P111" i="17"/>
  <c r="H111" i="17"/>
  <c r="P118" i="17"/>
  <c r="H118" i="17"/>
  <c r="P110" i="17"/>
  <c r="H110" i="17"/>
  <c r="P120" i="17"/>
  <c r="H120" i="17"/>
  <c r="B55" i="4"/>
  <c r="C54" i="4"/>
  <c r="C55" i="4" s="1"/>
  <c r="P62" i="17" l="1"/>
  <c r="H62" i="17"/>
  <c r="H85" i="17"/>
  <c r="P85" i="17"/>
  <c r="P69" i="17"/>
  <c r="H69" i="17"/>
  <c r="H60" i="17"/>
  <c r="P75" i="17"/>
  <c r="H75" i="17"/>
  <c r="F139" i="17"/>
  <c r="P83" i="17"/>
  <c r="H83" i="17"/>
  <c r="H89" i="17"/>
  <c r="P89" i="17"/>
  <c r="H77" i="17"/>
  <c r="P77" i="17"/>
  <c r="H66" i="17"/>
  <c r="P66" i="17"/>
  <c r="F140" i="17"/>
  <c r="D164" i="17" s="1"/>
  <c r="C62" i="14"/>
  <c r="D62" i="14" s="1"/>
  <c r="R147" i="17"/>
  <c r="P101" i="17"/>
  <c r="H101" i="17"/>
  <c r="H95" i="17"/>
  <c r="P95" i="17"/>
  <c r="H93" i="17"/>
  <c r="P93" i="17"/>
  <c r="H81" i="17"/>
  <c r="P81" i="17"/>
  <c r="P71" i="17"/>
  <c r="H71" i="17"/>
  <c r="P64" i="17"/>
  <c r="P139" i="17" s="1"/>
  <c r="P140" i="17" s="1"/>
  <c r="H64" i="17"/>
  <c r="D55" i="4"/>
  <c r="S147" i="17" s="1"/>
  <c r="B58" i="4"/>
  <c r="B59" i="4" s="1"/>
  <c r="C59" i="14" s="1"/>
  <c r="H139" i="17" l="1"/>
  <c r="H140" i="17"/>
  <c r="D165" i="17" s="1"/>
  <c r="I81" i="17" s="1"/>
  <c r="J81" i="17" s="1"/>
  <c r="K81" i="17" s="1"/>
  <c r="L81" i="17" s="1"/>
  <c r="B61" i="4"/>
  <c r="D59" i="14"/>
  <c r="N81" i="17" l="1"/>
  <c r="C76" i="14"/>
  <c r="D76" i="14" s="1"/>
  <c r="O85" i="17" s="1"/>
  <c r="Q85" i="17" s="1"/>
  <c r="I93" i="17"/>
  <c r="J93" i="17" s="1"/>
  <c r="K93" i="17" s="1"/>
  <c r="L93" i="17" s="1"/>
  <c r="I101" i="17"/>
  <c r="J101" i="17" s="1"/>
  <c r="K101" i="17" s="1"/>
  <c r="L101" i="17" s="1"/>
  <c r="N101" i="17" s="1"/>
  <c r="I89" i="17"/>
  <c r="J89" i="17" s="1"/>
  <c r="K89" i="17" s="1"/>
  <c r="L89" i="17" s="1"/>
  <c r="N89" i="17" s="1"/>
  <c r="I83" i="17"/>
  <c r="J83" i="17" s="1"/>
  <c r="K83" i="17" s="1"/>
  <c r="L83" i="17" s="1"/>
  <c r="N83" i="17" s="1"/>
  <c r="I62" i="17"/>
  <c r="J62" i="17" s="1"/>
  <c r="K62" i="17" s="1"/>
  <c r="L62" i="17" s="1"/>
  <c r="I55" i="17"/>
  <c r="J55" i="17" s="1"/>
  <c r="K55" i="17" s="1"/>
  <c r="L55" i="17" s="1"/>
  <c r="N55" i="17" s="1"/>
  <c r="I12" i="17"/>
  <c r="J12" i="17" s="1"/>
  <c r="K12" i="17" s="1"/>
  <c r="L12" i="17" s="1"/>
  <c r="I146" i="17"/>
  <c r="J146" i="17" s="1"/>
  <c r="K146" i="17" s="1"/>
  <c r="L146" i="17" s="1"/>
  <c r="I52" i="17"/>
  <c r="J52" i="17" s="1"/>
  <c r="K52" i="17" s="1"/>
  <c r="L52" i="17" s="1"/>
  <c r="I104" i="17"/>
  <c r="J104" i="17" s="1"/>
  <c r="K104" i="17" s="1"/>
  <c r="L104" i="17" s="1"/>
  <c r="N104" i="17" s="1"/>
  <c r="I51" i="17"/>
  <c r="J51" i="17" s="1"/>
  <c r="K51" i="17" s="1"/>
  <c r="L51" i="17" s="1"/>
  <c r="N51" i="17" s="1"/>
  <c r="I56" i="17"/>
  <c r="J56" i="17" s="1"/>
  <c r="K56" i="17" s="1"/>
  <c r="L56" i="17" s="1"/>
  <c r="N56" i="17" s="1"/>
  <c r="I26" i="17"/>
  <c r="J26" i="17" s="1"/>
  <c r="K26" i="17" s="1"/>
  <c r="L26" i="17" s="1"/>
  <c r="N26" i="17" s="1"/>
  <c r="I22" i="17"/>
  <c r="J22" i="17" s="1"/>
  <c r="K22" i="17" s="1"/>
  <c r="L22" i="17" s="1"/>
  <c r="I54" i="17"/>
  <c r="J54" i="17" s="1"/>
  <c r="K54" i="17" s="1"/>
  <c r="L54" i="17" s="1"/>
  <c r="I41" i="17"/>
  <c r="J41" i="17" s="1"/>
  <c r="K41" i="17" s="1"/>
  <c r="L41" i="17" s="1"/>
  <c r="N41" i="17" s="1"/>
  <c r="I45" i="17"/>
  <c r="J45" i="17" s="1"/>
  <c r="K45" i="17" s="1"/>
  <c r="L45" i="17" s="1"/>
  <c r="N45" i="17" s="1"/>
  <c r="I53" i="17"/>
  <c r="J53" i="17" s="1"/>
  <c r="K53" i="17" s="1"/>
  <c r="L53" i="17" s="1"/>
  <c r="N53" i="17" s="1"/>
  <c r="I50" i="17"/>
  <c r="J50" i="17" s="1"/>
  <c r="K50" i="17" s="1"/>
  <c r="L50" i="17" s="1"/>
  <c r="I149" i="17"/>
  <c r="J149" i="17" s="1"/>
  <c r="K149" i="17" s="1"/>
  <c r="L149" i="17" s="1"/>
  <c r="I35" i="17"/>
  <c r="J35" i="17" s="1"/>
  <c r="K35" i="17" s="1"/>
  <c r="L35" i="17" s="1"/>
  <c r="N35" i="17" s="1"/>
  <c r="I17" i="17"/>
  <c r="J17" i="17" s="1"/>
  <c r="K17" i="17" s="1"/>
  <c r="L17" i="17" s="1"/>
  <c r="I109" i="17"/>
  <c r="J109" i="17" s="1"/>
  <c r="K109" i="17" s="1"/>
  <c r="L109" i="17" s="1"/>
  <c r="N109" i="17" s="1"/>
  <c r="I18" i="17"/>
  <c r="J18" i="17" s="1"/>
  <c r="K18" i="17" s="1"/>
  <c r="L18" i="17" s="1"/>
  <c r="I20" i="17"/>
  <c r="J20" i="17" s="1"/>
  <c r="K20" i="17" s="1"/>
  <c r="L20" i="17" s="1"/>
  <c r="I44" i="17"/>
  <c r="J44" i="17" s="1"/>
  <c r="K44" i="17" s="1"/>
  <c r="L44" i="17" s="1"/>
  <c r="N44" i="17" s="1"/>
  <c r="I43" i="17"/>
  <c r="J43" i="17" s="1"/>
  <c r="K43" i="17" s="1"/>
  <c r="L43" i="17" s="1"/>
  <c r="I19" i="17"/>
  <c r="J19" i="17" s="1"/>
  <c r="K19" i="17" s="1"/>
  <c r="L19" i="17" s="1"/>
  <c r="I38" i="17"/>
  <c r="J38" i="17" s="1"/>
  <c r="K38" i="17" s="1"/>
  <c r="L38" i="17" s="1"/>
  <c r="I151" i="17"/>
  <c r="J151" i="17" s="1"/>
  <c r="K151" i="17" s="1"/>
  <c r="L151" i="17" s="1"/>
  <c r="I8" i="17"/>
  <c r="J8" i="17" s="1"/>
  <c r="K8" i="17" s="1"/>
  <c r="L8" i="17" s="1"/>
  <c r="I147" i="17"/>
  <c r="J147" i="17" s="1"/>
  <c r="K147" i="17" s="1"/>
  <c r="L147" i="17" s="1"/>
  <c r="I47" i="17"/>
  <c r="J47" i="17" s="1"/>
  <c r="K47" i="17" s="1"/>
  <c r="L47" i="17" s="1"/>
  <c r="I107" i="17"/>
  <c r="J107" i="17" s="1"/>
  <c r="K107" i="17" s="1"/>
  <c r="L107" i="17" s="1"/>
  <c r="N107" i="17" s="1"/>
  <c r="I57" i="17"/>
  <c r="J57" i="17" s="1"/>
  <c r="K57" i="17" s="1"/>
  <c r="L57" i="17" s="1"/>
  <c r="I59" i="17"/>
  <c r="J59" i="17" s="1"/>
  <c r="K59" i="17" s="1"/>
  <c r="L59" i="17" s="1"/>
  <c r="N59" i="17" s="1"/>
  <c r="I150" i="17"/>
  <c r="J150" i="17" s="1"/>
  <c r="K150" i="17" s="1"/>
  <c r="L150" i="17" s="1"/>
  <c r="I36" i="17"/>
  <c r="J36" i="17" s="1"/>
  <c r="K36" i="17" s="1"/>
  <c r="L36" i="17" s="1"/>
  <c r="N36" i="17" s="1"/>
  <c r="I30" i="17"/>
  <c r="J30" i="17" s="1"/>
  <c r="K30" i="17" s="1"/>
  <c r="L30" i="17" s="1"/>
  <c r="N30" i="17" s="1"/>
  <c r="I152" i="17"/>
  <c r="J152" i="17" s="1"/>
  <c r="K152" i="17" s="1"/>
  <c r="L152" i="17" s="1"/>
  <c r="I33" i="17"/>
  <c r="J33" i="17" s="1"/>
  <c r="K33" i="17" s="1"/>
  <c r="L33" i="17" s="1"/>
  <c r="I34" i="17"/>
  <c r="J34" i="17" s="1"/>
  <c r="K34" i="17" s="1"/>
  <c r="L34" i="17" s="1"/>
  <c r="N34" i="17" s="1"/>
  <c r="I27" i="17"/>
  <c r="J27" i="17" s="1"/>
  <c r="K27" i="17" s="1"/>
  <c r="L27" i="17" s="1"/>
  <c r="I144" i="17"/>
  <c r="J144" i="17" s="1"/>
  <c r="K144" i="17" s="1"/>
  <c r="L144" i="17" s="1"/>
  <c r="I23" i="17"/>
  <c r="J23" i="17" s="1"/>
  <c r="K23" i="17" s="1"/>
  <c r="L23" i="17" s="1"/>
  <c r="I154" i="17"/>
  <c r="J154" i="17" s="1"/>
  <c r="K154" i="17" s="1"/>
  <c r="L154" i="17" s="1"/>
  <c r="I46" i="17"/>
  <c r="J46" i="17" s="1"/>
  <c r="K46" i="17" s="1"/>
  <c r="L46" i="17" s="1"/>
  <c r="I145" i="17"/>
  <c r="J145" i="17" s="1"/>
  <c r="K145" i="17" s="1"/>
  <c r="L145" i="17" s="1"/>
  <c r="I148" i="17"/>
  <c r="J148" i="17" s="1"/>
  <c r="K148" i="17" s="1"/>
  <c r="L148" i="17" s="1"/>
  <c r="I9" i="17"/>
  <c r="J9" i="17" s="1"/>
  <c r="K9" i="17" s="1"/>
  <c r="L9" i="17" s="1"/>
  <c r="N9" i="17" s="1"/>
  <c r="I42" i="17"/>
  <c r="J42" i="17" s="1"/>
  <c r="K42" i="17" s="1"/>
  <c r="L42" i="17" s="1"/>
  <c r="I108" i="17"/>
  <c r="J108" i="17" s="1"/>
  <c r="K108" i="17" s="1"/>
  <c r="L108" i="17" s="1"/>
  <c r="N108" i="17" s="1"/>
  <c r="I39" i="17"/>
  <c r="J39" i="17" s="1"/>
  <c r="K39" i="17" s="1"/>
  <c r="L39" i="17" s="1"/>
  <c r="I32" i="17"/>
  <c r="J32" i="17" s="1"/>
  <c r="K32" i="17" s="1"/>
  <c r="L32" i="17" s="1"/>
  <c r="I58" i="17"/>
  <c r="J58" i="17" s="1"/>
  <c r="K58" i="17" s="1"/>
  <c r="L58" i="17" s="1"/>
  <c r="I40" i="17"/>
  <c r="J40" i="17" s="1"/>
  <c r="K40" i="17" s="1"/>
  <c r="L40" i="17" s="1"/>
  <c r="N40" i="17" s="1"/>
  <c r="I49" i="17"/>
  <c r="J49" i="17" s="1"/>
  <c r="K49" i="17" s="1"/>
  <c r="L49" i="17" s="1"/>
  <c r="I14" i="17"/>
  <c r="J14" i="17" s="1"/>
  <c r="K14" i="17" s="1"/>
  <c r="L14" i="17" s="1"/>
  <c r="I103" i="17"/>
  <c r="J103" i="17" s="1"/>
  <c r="K103" i="17" s="1"/>
  <c r="L103" i="17" s="1"/>
  <c r="N103" i="17" s="1"/>
  <c r="I24" i="17"/>
  <c r="J24" i="17" s="1"/>
  <c r="K24" i="17" s="1"/>
  <c r="L24" i="17" s="1"/>
  <c r="I25" i="17"/>
  <c r="J25" i="17" s="1"/>
  <c r="K25" i="17" s="1"/>
  <c r="L25" i="17" s="1"/>
  <c r="N25" i="17" s="1"/>
  <c r="I28" i="17"/>
  <c r="J28" i="17" s="1"/>
  <c r="K28" i="17" s="1"/>
  <c r="L28" i="17" s="1"/>
  <c r="I31" i="17"/>
  <c r="J31" i="17" s="1"/>
  <c r="K31" i="17" s="1"/>
  <c r="L31" i="17" s="1"/>
  <c r="N31" i="17" s="1"/>
  <c r="I37" i="17"/>
  <c r="J37" i="17" s="1"/>
  <c r="K37" i="17" s="1"/>
  <c r="L37" i="17" s="1"/>
  <c r="N37" i="17" s="1"/>
  <c r="I105" i="17"/>
  <c r="J105" i="17" s="1"/>
  <c r="K105" i="17" s="1"/>
  <c r="L105" i="17" s="1"/>
  <c r="N105" i="17" s="1"/>
  <c r="I13" i="17"/>
  <c r="J13" i="17" s="1"/>
  <c r="K13" i="17" s="1"/>
  <c r="L13" i="17" s="1"/>
  <c r="N13" i="17" s="1"/>
  <c r="I11" i="17"/>
  <c r="J11" i="17" s="1"/>
  <c r="K11" i="17" s="1"/>
  <c r="L11" i="17" s="1"/>
  <c r="N11" i="17" s="1"/>
  <c r="I21" i="17"/>
  <c r="J21" i="17" s="1"/>
  <c r="K21" i="17" s="1"/>
  <c r="L21" i="17" s="1"/>
  <c r="I15" i="17"/>
  <c r="J15" i="17" s="1"/>
  <c r="K15" i="17" s="1"/>
  <c r="L15" i="17" s="1"/>
  <c r="I106" i="17"/>
  <c r="J106" i="17" s="1"/>
  <c r="K106" i="17" s="1"/>
  <c r="L106" i="17" s="1"/>
  <c r="N106" i="17" s="1"/>
  <c r="I16" i="17"/>
  <c r="J16" i="17" s="1"/>
  <c r="K16" i="17" s="1"/>
  <c r="L16" i="17" s="1"/>
  <c r="I29" i="17"/>
  <c r="J29" i="17" s="1"/>
  <c r="K29" i="17" s="1"/>
  <c r="L29" i="17" s="1"/>
  <c r="N29" i="17" s="1"/>
  <c r="I10" i="17"/>
  <c r="J10" i="17" s="1"/>
  <c r="K10" i="17" s="1"/>
  <c r="L10" i="17" s="1"/>
  <c r="I153" i="17"/>
  <c r="J153" i="17" s="1"/>
  <c r="K153" i="17" s="1"/>
  <c r="L153" i="17" s="1"/>
  <c r="I48" i="17"/>
  <c r="J48" i="17" s="1"/>
  <c r="K48" i="17" s="1"/>
  <c r="L48" i="17" s="1"/>
  <c r="N48" i="17" s="1"/>
  <c r="I102" i="17"/>
  <c r="J102" i="17" s="1"/>
  <c r="K102" i="17" s="1"/>
  <c r="L102" i="17" s="1"/>
  <c r="I87" i="17"/>
  <c r="J87" i="17" s="1"/>
  <c r="K87" i="17" s="1"/>
  <c r="L87" i="17" s="1"/>
  <c r="I84" i="17"/>
  <c r="J84" i="17" s="1"/>
  <c r="K84" i="17" s="1"/>
  <c r="L84" i="17" s="1"/>
  <c r="N84" i="17" s="1"/>
  <c r="I68" i="17"/>
  <c r="J68" i="17" s="1"/>
  <c r="K68" i="17" s="1"/>
  <c r="L68" i="17" s="1"/>
  <c r="I98" i="17"/>
  <c r="J98" i="17" s="1"/>
  <c r="K98" i="17" s="1"/>
  <c r="L98" i="17" s="1"/>
  <c r="I94" i="17"/>
  <c r="J94" i="17" s="1"/>
  <c r="K94" i="17" s="1"/>
  <c r="L94" i="17" s="1"/>
  <c r="N94" i="17" s="1"/>
  <c r="I122" i="17"/>
  <c r="J122" i="17" s="1"/>
  <c r="K122" i="17" s="1"/>
  <c r="L122" i="17" s="1"/>
  <c r="N122" i="17" s="1"/>
  <c r="I73" i="17"/>
  <c r="J73" i="17" s="1"/>
  <c r="K73" i="17" s="1"/>
  <c r="L73" i="17" s="1"/>
  <c r="N73" i="17" s="1"/>
  <c r="I91" i="17"/>
  <c r="J91" i="17" s="1"/>
  <c r="K91" i="17" s="1"/>
  <c r="L91" i="17" s="1"/>
  <c r="N91" i="17" s="1"/>
  <c r="I112" i="17"/>
  <c r="J112" i="17" s="1"/>
  <c r="K112" i="17" s="1"/>
  <c r="L112" i="17" s="1"/>
  <c r="N112" i="17" s="1"/>
  <c r="I123" i="17"/>
  <c r="J123" i="17" s="1"/>
  <c r="K123" i="17" s="1"/>
  <c r="L123" i="17" s="1"/>
  <c r="I135" i="17"/>
  <c r="J135" i="17" s="1"/>
  <c r="K135" i="17" s="1"/>
  <c r="L135" i="17" s="1"/>
  <c r="I72" i="17"/>
  <c r="J72" i="17" s="1"/>
  <c r="K72" i="17" s="1"/>
  <c r="L72" i="17" s="1"/>
  <c r="N72" i="17" s="1"/>
  <c r="I76" i="17"/>
  <c r="J76" i="17" s="1"/>
  <c r="K76" i="17" s="1"/>
  <c r="L76" i="17" s="1"/>
  <c r="N76" i="17" s="1"/>
  <c r="I99" i="17"/>
  <c r="J99" i="17" s="1"/>
  <c r="K99" i="17" s="1"/>
  <c r="L99" i="17" s="1"/>
  <c r="I67" i="17"/>
  <c r="J67" i="17" s="1"/>
  <c r="K67" i="17" s="1"/>
  <c r="L67" i="17" s="1"/>
  <c r="N67" i="17" s="1"/>
  <c r="I79" i="17"/>
  <c r="J79" i="17" s="1"/>
  <c r="K79" i="17" s="1"/>
  <c r="L79" i="17" s="1"/>
  <c r="N79" i="17" s="1"/>
  <c r="I63" i="17"/>
  <c r="J63" i="17" s="1"/>
  <c r="K63" i="17" s="1"/>
  <c r="L63" i="17" s="1"/>
  <c r="N63" i="17" s="1"/>
  <c r="I132" i="17"/>
  <c r="J132" i="17" s="1"/>
  <c r="K132" i="17" s="1"/>
  <c r="L132" i="17" s="1"/>
  <c r="I7" i="17"/>
  <c r="I130" i="17"/>
  <c r="J130" i="17" s="1"/>
  <c r="K130" i="17" s="1"/>
  <c r="L130" i="17" s="1"/>
  <c r="I116" i="17"/>
  <c r="J116" i="17" s="1"/>
  <c r="K116" i="17" s="1"/>
  <c r="L116" i="17" s="1"/>
  <c r="I120" i="17"/>
  <c r="J120" i="17" s="1"/>
  <c r="K120" i="17" s="1"/>
  <c r="L120" i="17" s="1"/>
  <c r="N120" i="17" s="1"/>
  <c r="I92" i="17"/>
  <c r="J92" i="17" s="1"/>
  <c r="K92" i="17" s="1"/>
  <c r="L92" i="17" s="1"/>
  <c r="I88" i="17"/>
  <c r="J88" i="17" s="1"/>
  <c r="K88" i="17" s="1"/>
  <c r="L88" i="17" s="1"/>
  <c r="N88" i="17" s="1"/>
  <c r="I121" i="17"/>
  <c r="J121" i="17" s="1"/>
  <c r="K121" i="17" s="1"/>
  <c r="L121" i="17" s="1"/>
  <c r="N121" i="17" s="1"/>
  <c r="I110" i="17"/>
  <c r="J110" i="17" s="1"/>
  <c r="K110" i="17" s="1"/>
  <c r="L110" i="17" s="1"/>
  <c r="I133" i="17"/>
  <c r="J133" i="17" s="1"/>
  <c r="K133" i="17" s="1"/>
  <c r="L133" i="17" s="1"/>
  <c r="I70" i="17"/>
  <c r="J70" i="17" s="1"/>
  <c r="K70" i="17" s="1"/>
  <c r="L70" i="17" s="1"/>
  <c r="N70" i="17" s="1"/>
  <c r="I61" i="17"/>
  <c r="I134" i="17"/>
  <c r="J134" i="17" s="1"/>
  <c r="K134" i="17" s="1"/>
  <c r="L134" i="17" s="1"/>
  <c r="N134" i="17" s="1"/>
  <c r="I119" i="17"/>
  <c r="J119" i="17" s="1"/>
  <c r="K119" i="17" s="1"/>
  <c r="L119" i="17" s="1"/>
  <c r="N119" i="17" s="1"/>
  <c r="I90" i="17"/>
  <c r="J90" i="17" s="1"/>
  <c r="K90" i="17" s="1"/>
  <c r="L90" i="17" s="1"/>
  <c r="N90" i="17" s="1"/>
  <c r="I86" i="17"/>
  <c r="J86" i="17" s="1"/>
  <c r="K86" i="17" s="1"/>
  <c r="L86" i="17" s="1"/>
  <c r="I115" i="17"/>
  <c r="J115" i="17" s="1"/>
  <c r="K115" i="17" s="1"/>
  <c r="L115" i="17" s="1"/>
  <c r="N115" i="17" s="1"/>
  <c r="I126" i="17"/>
  <c r="J126" i="17" s="1"/>
  <c r="K126" i="17" s="1"/>
  <c r="L126" i="17" s="1"/>
  <c r="I124" i="17"/>
  <c r="J124" i="17" s="1"/>
  <c r="K124" i="17" s="1"/>
  <c r="L124" i="17" s="1"/>
  <c r="I114" i="17"/>
  <c r="J114" i="17" s="1"/>
  <c r="K114" i="17" s="1"/>
  <c r="L114" i="17" s="1"/>
  <c r="N114" i="17" s="1"/>
  <c r="I125" i="17"/>
  <c r="J125" i="17" s="1"/>
  <c r="K125" i="17" s="1"/>
  <c r="L125" i="17" s="1"/>
  <c r="I131" i="17"/>
  <c r="J131" i="17" s="1"/>
  <c r="K131" i="17" s="1"/>
  <c r="L131" i="17" s="1"/>
  <c r="I74" i="17"/>
  <c r="J74" i="17" s="1"/>
  <c r="K74" i="17" s="1"/>
  <c r="L74" i="17" s="1"/>
  <c r="I127" i="17"/>
  <c r="J127" i="17" s="1"/>
  <c r="K127" i="17" s="1"/>
  <c r="L127" i="17" s="1"/>
  <c r="I80" i="17"/>
  <c r="J80" i="17" s="1"/>
  <c r="K80" i="17" s="1"/>
  <c r="L80" i="17" s="1"/>
  <c r="I100" i="17"/>
  <c r="J100" i="17" s="1"/>
  <c r="K100" i="17" s="1"/>
  <c r="L100" i="17" s="1"/>
  <c r="N100" i="17" s="1"/>
  <c r="I82" i="17"/>
  <c r="J82" i="17" s="1"/>
  <c r="K82" i="17" s="1"/>
  <c r="L82" i="17" s="1"/>
  <c r="N82" i="17" s="1"/>
  <c r="I78" i="17"/>
  <c r="J78" i="17" s="1"/>
  <c r="K78" i="17" s="1"/>
  <c r="L78" i="17" s="1"/>
  <c r="N78" i="17" s="1"/>
  <c r="I118" i="17"/>
  <c r="J118" i="17" s="1"/>
  <c r="K118" i="17" s="1"/>
  <c r="L118" i="17" s="1"/>
  <c r="N118" i="17" s="1"/>
  <c r="I96" i="17"/>
  <c r="J96" i="17" s="1"/>
  <c r="K96" i="17" s="1"/>
  <c r="L96" i="17" s="1"/>
  <c r="N96" i="17" s="1"/>
  <c r="I136" i="17"/>
  <c r="J136" i="17" s="1"/>
  <c r="K136" i="17" s="1"/>
  <c r="L136" i="17" s="1"/>
  <c r="N136" i="17" s="1"/>
  <c r="I113" i="17"/>
  <c r="J113" i="17" s="1"/>
  <c r="K113" i="17" s="1"/>
  <c r="L113" i="17" s="1"/>
  <c r="N113" i="17" s="1"/>
  <c r="I117" i="17"/>
  <c r="J117" i="17" s="1"/>
  <c r="K117" i="17" s="1"/>
  <c r="L117" i="17" s="1"/>
  <c r="N117" i="17" s="1"/>
  <c r="I129" i="17"/>
  <c r="J129" i="17" s="1"/>
  <c r="K129" i="17" s="1"/>
  <c r="L129" i="17" s="1"/>
  <c r="I65" i="17"/>
  <c r="J65" i="17" s="1"/>
  <c r="K65" i="17" s="1"/>
  <c r="L65" i="17" s="1"/>
  <c r="N65" i="17" s="1"/>
  <c r="I111" i="17"/>
  <c r="J111" i="17" s="1"/>
  <c r="K111" i="17" s="1"/>
  <c r="L111" i="17" s="1"/>
  <c r="N111" i="17" s="1"/>
  <c r="I128" i="17"/>
  <c r="J128" i="17" s="1"/>
  <c r="K128" i="17" s="1"/>
  <c r="L128" i="17" s="1"/>
  <c r="I97" i="17"/>
  <c r="J97" i="17" s="1"/>
  <c r="K97" i="17" s="1"/>
  <c r="L97" i="17" s="1"/>
  <c r="N97" i="17" s="1"/>
  <c r="I77" i="17"/>
  <c r="J77" i="17" s="1"/>
  <c r="K77" i="17" s="1"/>
  <c r="L77" i="17" s="1"/>
  <c r="N77" i="17" s="1"/>
  <c r="I69" i="17"/>
  <c r="J69" i="17" s="1"/>
  <c r="K69" i="17" s="1"/>
  <c r="L69" i="17" s="1"/>
  <c r="I71" i="17"/>
  <c r="J71" i="17" s="1"/>
  <c r="K71" i="17" s="1"/>
  <c r="L71" i="17" s="1"/>
  <c r="N71" i="17" s="1"/>
  <c r="I75" i="17"/>
  <c r="J75" i="17" s="1"/>
  <c r="K75" i="17" s="1"/>
  <c r="L75" i="17" s="1"/>
  <c r="I95" i="17"/>
  <c r="J95" i="17" s="1"/>
  <c r="K95" i="17" s="1"/>
  <c r="L95" i="17" s="1"/>
  <c r="N95" i="17" s="1"/>
  <c r="I66" i="17"/>
  <c r="J66" i="17" s="1"/>
  <c r="K66" i="17" s="1"/>
  <c r="L66" i="17" s="1"/>
  <c r="N66" i="17" s="1"/>
  <c r="I85" i="17"/>
  <c r="J85" i="17" s="1"/>
  <c r="K85" i="17" s="1"/>
  <c r="L85" i="17" s="1"/>
  <c r="N85" i="17" s="1"/>
  <c r="I64" i="17"/>
  <c r="J64" i="17" s="1"/>
  <c r="K64" i="17" s="1"/>
  <c r="L64" i="17" s="1"/>
  <c r="N64" i="17" s="1"/>
  <c r="R85" i="17"/>
  <c r="O81" i="17"/>
  <c r="Q81" i="17" s="1"/>
  <c r="O83" i="17"/>
  <c r="Q83" i="17" s="1"/>
  <c r="U71" i="17" l="1"/>
  <c r="V71" i="17" s="1"/>
  <c r="W71" i="17" s="1"/>
  <c r="X71" i="17" s="1"/>
  <c r="S71" i="17"/>
  <c r="S118" i="17"/>
  <c r="U118" i="17"/>
  <c r="V118" i="17" s="1"/>
  <c r="W118" i="17" s="1"/>
  <c r="X118" i="17" s="1"/>
  <c r="S115" i="17"/>
  <c r="U115" i="17"/>
  <c r="V115" i="17" s="1"/>
  <c r="W115" i="17" s="1"/>
  <c r="X115" i="17" s="1"/>
  <c r="C106" i="14"/>
  <c r="D106" i="14" s="1"/>
  <c r="C105" i="14"/>
  <c r="D105" i="14" s="1"/>
  <c r="N110" i="17"/>
  <c r="C79" i="14"/>
  <c r="D79" i="14" s="1"/>
  <c r="N99" i="17"/>
  <c r="S122" i="17"/>
  <c r="U122" i="17"/>
  <c r="V122" i="17" s="1"/>
  <c r="W122" i="17" s="1"/>
  <c r="X122" i="17" s="1"/>
  <c r="N153" i="17"/>
  <c r="C94" i="14"/>
  <c r="D94" i="14" s="1"/>
  <c r="O153" i="17" s="1"/>
  <c r="S13" i="17"/>
  <c r="U13" i="17"/>
  <c r="V13" i="17" s="1"/>
  <c r="W13" i="17" s="1"/>
  <c r="X13" i="17" s="1"/>
  <c r="N14" i="17"/>
  <c r="C14" i="14"/>
  <c r="D14" i="14" s="1"/>
  <c r="O14" i="17" s="1"/>
  <c r="Q14" i="17" s="1"/>
  <c r="U9" i="17"/>
  <c r="V9" i="17" s="1"/>
  <c r="W9" i="17" s="1"/>
  <c r="X9" i="17" s="1"/>
  <c r="S9" i="17"/>
  <c r="N154" i="17"/>
  <c r="C95" i="14"/>
  <c r="D95" i="14" s="1"/>
  <c r="O154" i="17" s="1"/>
  <c r="S36" i="17"/>
  <c r="U36" i="17"/>
  <c r="V36" i="17" s="1"/>
  <c r="W36" i="17" s="1"/>
  <c r="X36" i="17" s="1"/>
  <c r="S44" i="17"/>
  <c r="U44" i="17"/>
  <c r="V44" i="17" s="1"/>
  <c r="W44" i="17" s="1"/>
  <c r="X44" i="17" s="1"/>
  <c r="C31" i="14"/>
  <c r="D31" i="14" s="1"/>
  <c r="O17" i="17" s="1"/>
  <c r="Q17" i="17" s="1"/>
  <c r="N17" i="17"/>
  <c r="S104" i="17"/>
  <c r="U104" i="17"/>
  <c r="V104" i="17" s="1"/>
  <c r="W104" i="17" s="1"/>
  <c r="X104" i="17" s="1"/>
  <c r="U55" i="17"/>
  <c r="V55" i="17" s="1"/>
  <c r="W55" i="17" s="1"/>
  <c r="X55" i="17" s="1"/>
  <c r="S55" i="17"/>
  <c r="S66" i="17"/>
  <c r="U66" i="17"/>
  <c r="V66" i="17" s="1"/>
  <c r="W66" i="17" s="1"/>
  <c r="X66" i="17" s="1"/>
  <c r="C74" i="14"/>
  <c r="D74" i="14" s="1"/>
  <c r="N69" i="17"/>
  <c r="S111" i="17"/>
  <c r="U111" i="17"/>
  <c r="V111" i="17" s="1"/>
  <c r="W111" i="17" s="1"/>
  <c r="X111" i="17" s="1"/>
  <c r="S113" i="17"/>
  <c r="U113" i="17"/>
  <c r="V113" i="17" s="1"/>
  <c r="W113" i="17" s="1"/>
  <c r="X113" i="17" s="1"/>
  <c r="S78" i="17"/>
  <c r="U78" i="17"/>
  <c r="V78" i="17" s="1"/>
  <c r="W78" i="17" s="1"/>
  <c r="X78" i="17" s="1"/>
  <c r="N127" i="17"/>
  <c r="C81" i="14"/>
  <c r="D81" i="14" s="1"/>
  <c r="S114" i="17"/>
  <c r="U114" i="17"/>
  <c r="V114" i="17" s="1"/>
  <c r="W114" i="17" s="1"/>
  <c r="X114" i="17" s="1"/>
  <c r="C69" i="14"/>
  <c r="D69" i="14" s="1"/>
  <c r="N86" i="17"/>
  <c r="J61" i="17"/>
  <c r="K61" i="17" s="1"/>
  <c r="L61" i="17" s="1"/>
  <c r="I139" i="17"/>
  <c r="S121" i="17"/>
  <c r="U121" i="17"/>
  <c r="V121" i="17" s="1"/>
  <c r="W121" i="17" s="1"/>
  <c r="X121" i="17" s="1"/>
  <c r="N116" i="17"/>
  <c r="C108" i="14"/>
  <c r="D108" i="14" s="1"/>
  <c r="O119" i="17" s="1"/>
  <c r="Q119" i="17" s="1"/>
  <c r="C109" i="14"/>
  <c r="D109" i="14" s="1"/>
  <c r="S63" i="17"/>
  <c r="U63" i="17"/>
  <c r="V63" i="17" s="1"/>
  <c r="W63" i="17" s="1"/>
  <c r="X63" i="17" s="1"/>
  <c r="U76" i="17"/>
  <c r="V76" i="17" s="1"/>
  <c r="W76" i="17" s="1"/>
  <c r="X76" i="17" s="1"/>
  <c r="S76" i="17"/>
  <c r="S112" i="17"/>
  <c r="U112" i="17"/>
  <c r="V112" i="17" s="1"/>
  <c r="W112" i="17" s="1"/>
  <c r="X112" i="17" s="1"/>
  <c r="U94" i="17"/>
  <c r="V94" i="17" s="1"/>
  <c r="W94" i="17" s="1"/>
  <c r="X94" i="17" s="1"/>
  <c r="S94" i="17"/>
  <c r="N87" i="17"/>
  <c r="C77" i="14"/>
  <c r="D77" i="14" s="1"/>
  <c r="C29" i="14"/>
  <c r="D29" i="14" s="1"/>
  <c r="N10" i="17"/>
  <c r="C30" i="14"/>
  <c r="D30" i="14" s="1"/>
  <c r="O15" i="17" s="1"/>
  <c r="Q15" i="17" s="1"/>
  <c r="N15" i="17"/>
  <c r="S105" i="17"/>
  <c r="U105" i="17"/>
  <c r="V105" i="17" s="1"/>
  <c r="W105" i="17" s="1"/>
  <c r="X105" i="17" s="1"/>
  <c r="S25" i="17"/>
  <c r="U25" i="17"/>
  <c r="V25" i="17" s="1"/>
  <c r="W25" i="17" s="1"/>
  <c r="X25" i="17" s="1"/>
  <c r="N49" i="17"/>
  <c r="C44" i="14"/>
  <c r="D44" i="14" s="1"/>
  <c r="N39" i="17"/>
  <c r="C23" i="14"/>
  <c r="D23" i="14" s="1"/>
  <c r="O39" i="17" s="1"/>
  <c r="Q39" i="17" s="1"/>
  <c r="R39" i="17" s="1"/>
  <c r="N148" i="17"/>
  <c r="C52" i="14"/>
  <c r="D52" i="14" s="1"/>
  <c r="O148" i="17" s="1"/>
  <c r="N23" i="17"/>
  <c r="C36" i="14"/>
  <c r="D36" i="14" s="1"/>
  <c r="N33" i="17"/>
  <c r="C21" i="14"/>
  <c r="D21" i="14" s="1"/>
  <c r="N150" i="17"/>
  <c r="C55" i="14"/>
  <c r="D55" i="14" s="1"/>
  <c r="O150" i="17" s="1"/>
  <c r="C24" i="14"/>
  <c r="D24" i="14" s="1"/>
  <c r="O47" i="17" s="1"/>
  <c r="Q47" i="17" s="1"/>
  <c r="R47" i="17" s="1"/>
  <c r="N47" i="17"/>
  <c r="C39" i="14"/>
  <c r="D39" i="14" s="1"/>
  <c r="N38" i="17"/>
  <c r="N20" i="17"/>
  <c r="C17" i="14"/>
  <c r="D17" i="14" s="1"/>
  <c r="O20" i="17" s="1"/>
  <c r="Q20" i="17" s="1"/>
  <c r="U35" i="17"/>
  <c r="V35" i="17" s="1"/>
  <c r="W35" i="17" s="1"/>
  <c r="X35" i="17" s="1"/>
  <c r="S35" i="17"/>
  <c r="S45" i="17"/>
  <c r="U45" i="17"/>
  <c r="V45" i="17" s="1"/>
  <c r="W45" i="17" s="1"/>
  <c r="X45" i="17" s="1"/>
  <c r="U26" i="17"/>
  <c r="V26" i="17" s="1"/>
  <c r="W26" i="17" s="1"/>
  <c r="X26" i="17" s="1"/>
  <c r="S26" i="17"/>
  <c r="N52" i="17"/>
  <c r="C8" i="14"/>
  <c r="D8" i="14" s="1"/>
  <c r="C73" i="14"/>
  <c r="D73" i="14" s="1"/>
  <c r="N62" i="17"/>
  <c r="C78" i="14"/>
  <c r="D78" i="14" s="1"/>
  <c r="N93" i="17"/>
  <c r="N128" i="17"/>
  <c r="C82" i="14"/>
  <c r="D82" i="14" s="1"/>
  <c r="C68" i="14"/>
  <c r="D68" i="14" s="1"/>
  <c r="N80" i="17"/>
  <c r="S134" i="17"/>
  <c r="U134" i="17"/>
  <c r="V134" i="17" s="1"/>
  <c r="W134" i="17" s="1"/>
  <c r="X134" i="17" s="1"/>
  <c r="N132" i="17"/>
  <c r="C86" i="14"/>
  <c r="D86" i="14" s="1"/>
  <c r="O132" i="17" s="1"/>
  <c r="Q132" i="17" s="1"/>
  <c r="N123" i="17"/>
  <c r="C89" i="14"/>
  <c r="D89" i="14" s="1"/>
  <c r="O123" i="17" s="1"/>
  <c r="Q123" i="17" s="1"/>
  <c r="U84" i="17"/>
  <c r="V84" i="17" s="1"/>
  <c r="W84" i="17" s="1"/>
  <c r="X84" i="17" s="1"/>
  <c r="S84" i="17"/>
  <c r="S106" i="17"/>
  <c r="U106" i="17"/>
  <c r="V106" i="17" s="1"/>
  <c r="W106" i="17" s="1"/>
  <c r="X106" i="17" s="1"/>
  <c r="N28" i="17"/>
  <c r="C22" i="14"/>
  <c r="D22" i="14" s="1"/>
  <c r="O28" i="17" s="1"/>
  <c r="Q28" i="17" s="1"/>
  <c r="C37" i="14"/>
  <c r="D37" i="14" s="1"/>
  <c r="N32" i="17"/>
  <c r="S34" i="17"/>
  <c r="U34" i="17"/>
  <c r="V34" i="17" s="1"/>
  <c r="W34" i="17" s="1"/>
  <c r="X34" i="17" s="1"/>
  <c r="S107" i="17"/>
  <c r="U107" i="17"/>
  <c r="V107" i="17" s="1"/>
  <c r="W107" i="17" s="1"/>
  <c r="X107" i="17" s="1"/>
  <c r="N151" i="17"/>
  <c r="C56" i="14"/>
  <c r="D56" i="14" s="1"/>
  <c r="O151" i="17" s="1"/>
  <c r="U53" i="17"/>
  <c r="V53" i="17" s="1"/>
  <c r="W53" i="17" s="1"/>
  <c r="X53" i="17" s="1"/>
  <c r="S53" i="17"/>
  <c r="N22" i="17"/>
  <c r="C35" i="14"/>
  <c r="D35" i="14" s="1"/>
  <c r="O22" i="17" s="1"/>
  <c r="Q22" i="17" s="1"/>
  <c r="S101" i="17"/>
  <c r="U101" i="17"/>
  <c r="V101" i="17" s="1"/>
  <c r="W101" i="17" s="1"/>
  <c r="X101" i="17" s="1"/>
  <c r="U95" i="17"/>
  <c r="V95" i="17" s="1"/>
  <c r="W95" i="17" s="1"/>
  <c r="X95" i="17" s="1"/>
  <c r="S95" i="17"/>
  <c r="S77" i="17"/>
  <c r="U77" i="17"/>
  <c r="V77" i="17" s="1"/>
  <c r="W77" i="17" s="1"/>
  <c r="X77" i="17" s="1"/>
  <c r="S65" i="17"/>
  <c r="U65" i="17"/>
  <c r="V65" i="17" s="1"/>
  <c r="W65" i="17" s="1"/>
  <c r="X65" i="17" s="1"/>
  <c r="S136" i="17"/>
  <c r="U136" i="17"/>
  <c r="V136" i="17" s="1"/>
  <c r="W136" i="17" s="1"/>
  <c r="X136" i="17" s="1"/>
  <c r="U82" i="17"/>
  <c r="V82" i="17" s="1"/>
  <c r="W82" i="17" s="1"/>
  <c r="X82" i="17" s="1"/>
  <c r="S82" i="17"/>
  <c r="N74" i="17"/>
  <c r="C67" i="14"/>
  <c r="D67" i="14" s="1"/>
  <c r="C90" i="14"/>
  <c r="D90" i="14" s="1"/>
  <c r="O124" i="17" s="1"/>
  <c r="Q124" i="17" s="1"/>
  <c r="R124" i="17" s="1"/>
  <c r="N124" i="17"/>
  <c r="S90" i="17"/>
  <c r="U90" i="17"/>
  <c r="V90" i="17" s="1"/>
  <c r="W90" i="17" s="1"/>
  <c r="X90" i="17" s="1"/>
  <c r="S70" i="17"/>
  <c r="U70" i="17"/>
  <c r="V70" i="17" s="1"/>
  <c r="W70" i="17" s="1"/>
  <c r="X70" i="17" s="1"/>
  <c r="U88" i="17"/>
  <c r="V88" i="17" s="1"/>
  <c r="W88" i="17" s="1"/>
  <c r="X88" i="17" s="1"/>
  <c r="S88" i="17"/>
  <c r="C84" i="14"/>
  <c r="D84" i="14" s="1"/>
  <c r="O130" i="17" s="1"/>
  <c r="Q130" i="17" s="1"/>
  <c r="N130" i="17"/>
  <c r="U79" i="17"/>
  <c r="V79" i="17" s="1"/>
  <c r="W79" i="17" s="1"/>
  <c r="X79" i="17" s="1"/>
  <c r="S79" i="17"/>
  <c r="S72" i="17"/>
  <c r="U72" i="17"/>
  <c r="V72" i="17" s="1"/>
  <c r="W72" i="17" s="1"/>
  <c r="X72" i="17" s="1"/>
  <c r="U91" i="17"/>
  <c r="V91" i="17" s="1"/>
  <c r="W91" i="17" s="1"/>
  <c r="X91" i="17" s="1"/>
  <c r="S91" i="17"/>
  <c r="C71" i="14"/>
  <c r="D71" i="14" s="1"/>
  <c r="O100" i="17" s="1"/>
  <c r="Q100" i="17" s="1"/>
  <c r="N98" i="17"/>
  <c r="C101" i="14"/>
  <c r="D101" i="14" s="1"/>
  <c r="C102" i="14"/>
  <c r="C98" i="14"/>
  <c r="D98" i="14" s="1"/>
  <c r="O105" i="17" s="1"/>
  <c r="Q105" i="17" s="1"/>
  <c r="C100" i="14"/>
  <c r="C99" i="14"/>
  <c r="N102" i="17"/>
  <c r="C103" i="14"/>
  <c r="U29" i="17"/>
  <c r="V29" i="17" s="1"/>
  <c r="W29" i="17" s="1"/>
  <c r="X29" i="17" s="1"/>
  <c r="S29" i="17"/>
  <c r="C19" i="14"/>
  <c r="D19" i="14" s="1"/>
  <c r="O21" i="17" s="1"/>
  <c r="Q21" i="17" s="1"/>
  <c r="R21" i="17" s="1"/>
  <c r="N21" i="17"/>
  <c r="U37" i="17"/>
  <c r="V37" i="17" s="1"/>
  <c r="W37" i="17" s="1"/>
  <c r="X37" i="17" s="1"/>
  <c r="S37" i="17"/>
  <c r="C20" i="14"/>
  <c r="D20" i="14" s="1"/>
  <c r="N24" i="17"/>
  <c r="S40" i="17"/>
  <c r="U40" i="17"/>
  <c r="V40" i="17" s="1"/>
  <c r="W40" i="17" s="1"/>
  <c r="X40" i="17" s="1"/>
  <c r="S108" i="17"/>
  <c r="U108" i="17"/>
  <c r="V108" i="17" s="1"/>
  <c r="W108" i="17" s="1"/>
  <c r="X108" i="17" s="1"/>
  <c r="C34" i="14"/>
  <c r="D34" i="14" s="1"/>
  <c r="O145" i="17" s="1"/>
  <c r="N145" i="17"/>
  <c r="N144" i="17"/>
  <c r="C33" i="14"/>
  <c r="D33" i="14" s="1"/>
  <c r="O144" i="17" s="1"/>
  <c r="C92" i="14"/>
  <c r="D92" i="14" s="1"/>
  <c r="O152" i="17" s="1"/>
  <c r="N152" i="17"/>
  <c r="U59" i="17"/>
  <c r="V59" i="17" s="1"/>
  <c r="W59" i="17" s="1"/>
  <c r="X59" i="17" s="1"/>
  <c r="S59" i="17"/>
  <c r="N147" i="17"/>
  <c r="C47" i="14"/>
  <c r="D47" i="14" s="1"/>
  <c r="O147" i="17" s="1"/>
  <c r="C32" i="14"/>
  <c r="D32" i="14" s="1"/>
  <c r="O19" i="17" s="1"/>
  <c r="Q19" i="17" s="1"/>
  <c r="N19" i="17"/>
  <c r="N18" i="17"/>
  <c r="C16" i="14"/>
  <c r="D16" i="14" s="1"/>
  <c r="O18" i="17" s="1"/>
  <c r="Q18" i="17" s="1"/>
  <c r="R18" i="17" s="1"/>
  <c r="N149" i="17"/>
  <c r="C53" i="14"/>
  <c r="D53" i="14" s="1"/>
  <c r="O149" i="17" s="1"/>
  <c r="S41" i="17"/>
  <c r="U41" i="17"/>
  <c r="V41" i="17" s="1"/>
  <c r="W41" i="17" s="1"/>
  <c r="X41" i="17" s="1"/>
  <c r="U56" i="17"/>
  <c r="V56" i="17" s="1"/>
  <c r="W56" i="17" s="1"/>
  <c r="X56" i="17" s="1"/>
  <c r="S56" i="17"/>
  <c r="C18" i="14"/>
  <c r="D18" i="14" s="1"/>
  <c r="O146" i="17" s="1"/>
  <c r="N146" i="17"/>
  <c r="S83" i="17"/>
  <c r="U83" i="17"/>
  <c r="V83" i="17" s="1"/>
  <c r="W83" i="17" s="1"/>
  <c r="X83" i="17" s="1"/>
  <c r="S85" i="17"/>
  <c r="T85" i="17" s="1"/>
  <c r="U85" i="17"/>
  <c r="V85" i="17" s="1"/>
  <c r="W85" i="17" s="1"/>
  <c r="X85" i="17" s="1"/>
  <c r="S117" i="17"/>
  <c r="U117" i="17"/>
  <c r="V117" i="17" s="1"/>
  <c r="W117" i="17" s="1"/>
  <c r="X117" i="17" s="1"/>
  <c r="N125" i="17"/>
  <c r="C91" i="14"/>
  <c r="D91" i="14" s="1"/>
  <c r="O125" i="17" s="1"/>
  <c r="Q125" i="17" s="1"/>
  <c r="S120" i="17"/>
  <c r="U120" i="17"/>
  <c r="V120" i="17" s="1"/>
  <c r="W120" i="17" s="1"/>
  <c r="X120" i="17" s="1"/>
  <c r="U64" i="17"/>
  <c r="V64" i="17" s="1"/>
  <c r="W64" i="17" s="1"/>
  <c r="X64" i="17" s="1"/>
  <c r="S64" i="17"/>
  <c r="C75" i="14"/>
  <c r="D75" i="14" s="1"/>
  <c r="N75" i="17"/>
  <c r="S97" i="17"/>
  <c r="U97" i="17"/>
  <c r="V97" i="17" s="1"/>
  <c r="W97" i="17" s="1"/>
  <c r="X97" i="17" s="1"/>
  <c r="C83" i="14"/>
  <c r="D83" i="14" s="1"/>
  <c r="N129" i="17"/>
  <c r="U96" i="17"/>
  <c r="V96" i="17" s="1"/>
  <c r="W96" i="17" s="1"/>
  <c r="X96" i="17" s="1"/>
  <c r="S96" i="17"/>
  <c r="U100" i="17"/>
  <c r="V100" i="17" s="1"/>
  <c r="W100" i="17" s="1"/>
  <c r="X100" i="17" s="1"/>
  <c r="S100" i="17"/>
  <c r="N131" i="17"/>
  <c r="C85" i="14"/>
  <c r="D85" i="14" s="1"/>
  <c r="C93" i="14"/>
  <c r="D93" i="14" s="1"/>
  <c r="O126" i="17" s="1"/>
  <c r="Q126" i="17" s="1"/>
  <c r="N126" i="17"/>
  <c r="S119" i="17"/>
  <c r="U119" i="17"/>
  <c r="V119" i="17" s="1"/>
  <c r="W119" i="17" s="1"/>
  <c r="X119" i="17" s="1"/>
  <c r="C87" i="14"/>
  <c r="D87" i="14" s="1"/>
  <c r="N133" i="17"/>
  <c r="N92" i="17"/>
  <c r="C70" i="14"/>
  <c r="D70" i="14" s="1"/>
  <c r="J7" i="17"/>
  <c r="K7" i="17" s="1"/>
  <c r="L7" i="17" s="1"/>
  <c r="I60" i="17"/>
  <c r="I140" i="17" s="1"/>
  <c r="U67" i="17"/>
  <c r="V67" i="17" s="1"/>
  <c r="W67" i="17" s="1"/>
  <c r="X67" i="17" s="1"/>
  <c r="S67" i="17"/>
  <c r="N135" i="17"/>
  <c r="C51" i="14"/>
  <c r="D51" i="14" s="1"/>
  <c r="O135" i="17" s="1"/>
  <c r="Q135" i="17" s="1"/>
  <c r="U73" i="17"/>
  <c r="V73" i="17" s="1"/>
  <c r="W73" i="17" s="1"/>
  <c r="X73" i="17" s="1"/>
  <c r="S73" i="17"/>
  <c r="N68" i="17"/>
  <c r="C66" i="14"/>
  <c r="D66" i="14" s="1"/>
  <c r="O68" i="17" s="1"/>
  <c r="Q68" i="17" s="1"/>
  <c r="S48" i="17"/>
  <c r="U48" i="17"/>
  <c r="V48" i="17" s="1"/>
  <c r="W48" i="17" s="1"/>
  <c r="X48" i="17" s="1"/>
  <c r="N16" i="17"/>
  <c r="C15" i="14"/>
  <c r="D15" i="14" s="1"/>
  <c r="O16" i="17" s="1"/>
  <c r="Q16" i="17" s="1"/>
  <c r="R16" i="17" s="1"/>
  <c r="U11" i="17"/>
  <c r="V11" i="17" s="1"/>
  <c r="W11" i="17" s="1"/>
  <c r="X11" i="17" s="1"/>
  <c r="S11" i="17"/>
  <c r="U31" i="17"/>
  <c r="V31" i="17" s="1"/>
  <c r="W31" i="17" s="1"/>
  <c r="X31" i="17" s="1"/>
  <c r="S31" i="17"/>
  <c r="S103" i="17"/>
  <c r="U103" i="17"/>
  <c r="V103" i="17" s="1"/>
  <c r="W103" i="17" s="1"/>
  <c r="X103" i="17" s="1"/>
  <c r="C46" i="14"/>
  <c r="D46" i="14" s="1"/>
  <c r="N58" i="17"/>
  <c r="N42" i="17"/>
  <c r="C41" i="14"/>
  <c r="D41" i="14" s="1"/>
  <c r="N46" i="17"/>
  <c r="C40" i="14"/>
  <c r="D40" i="14" s="1"/>
  <c r="N27" i="17"/>
  <c r="C38" i="14"/>
  <c r="D38" i="14" s="1"/>
  <c r="U30" i="17"/>
  <c r="V30" i="17" s="1"/>
  <c r="W30" i="17" s="1"/>
  <c r="X30" i="17" s="1"/>
  <c r="S30" i="17"/>
  <c r="N57" i="17"/>
  <c r="C45" i="14"/>
  <c r="D45" i="14" s="1"/>
  <c r="O57" i="17" s="1"/>
  <c r="Q57" i="17" s="1"/>
  <c r="C12" i="14"/>
  <c r="D12" i="14" s="1"/>
  <c r="O8" i="17" s="1"/>
  <c r="Q8" i="17" s="1"/>
  <c r="N8" i="17"/>
  <c r="C25" i="14"/>
  <c r="D25" i="14" s="1"/>
  <c r="O43" i="17" s="1"/>
  <c r="Q43" i="17" s="1"/>
  <c r="R43" i="17" s="1"/>
  <c r="N43" i="17"/>
  <c r="S109" i="17"/>
  <c r="U109" i="17"/>
  <c r="V109" i="17" s="1"/>
  <c r="W109" i="17" s="1"/>
  <c r="X109" i="17" s="1"/>
  <c r="C48" i="14"/>
  <c r="D48" i="14" s="1"/>
  <c r="O50" i="17" s="1"/>
  <c r="Q50" i="17" s="1"/>
  <c r="N50" i="17"/>
  <c r="C54" i="14"/>
  <c r="D54" i="14" s="1"/>
  <c r="N54" i="17"/>
  <c r="U51" i="17"/>
  <c r="V51" i="17" s="1"/>
  <c r="W51" i="17" s="1"/>
  <c r="X51" i="17" s="1"/>
  <c r="S51" i="17"/>
  <c r="C13" i="14"/>
  <c r="D13" i="14" s="1"/>
  <c r="O12" i="17" s="1"/>
  <c r="Q12" i="17" s="1"/>
  <c r="R12" i="17" s="1"/>
  <c r="N12" i="17"/>
  <c r="U89" i="17"/>
  <c r="V89" i="17" s="1"/>
  <c r="W89" i="17" s="1"/>
  <c r="X89" i="17" s="1"/>
  <c r="S89" i="17"/>
  <c r="U81" i="17"/>
  <c r="V81" i="17" s="1"/>
  <c r="W81" i="17" s="1"/>
  <c r="X81" i="17" s="1"/>
  <c r="S81" i="17"/>
  <c r="T81" i="17" s="1"/>
  <c r="O115" i="17"/>
  <c r="Q115" i="17" s="1"/>
  <c r="O114" i="17"/>
  <c r="Q114" i="17" s="1"/>
  <c r="R135" i="17"/>
  <c r="O110" i="17"/>
  <c r="Q110" i="17" s="1"/>
  <c r="O111" i="17"/>
  <c r="Q111" i="17" s="1"/>
  <c r="O113" i="17"/>
  <c r="Q113" i="17" s="1"/>
  <c r="O112" i="17"/>
  <c r="Q112" i="17" s="1"/>
  <c r="O122" i="17"/>
  <c r="Q122" i="17" s="1"/>
  <c r="O116" i="17"/>
  <c r="Q116" i="17" s="1"/>
  <c r="R126" i="17"/>
  <c r="R125" i="17"/>
  <c r="R123" i="17"/>
  <c r="R132" i="17"/>
  <c r="R130" i="17"/>
  <c r="O131" i="17"/>
  <c r="Q131" i="17" s="1"/>
  <c r="O133" i="17"/>
  <c r="Q133" i="17" s="1"/>
  <c r="O129" i="17"/>
  <c r="Q129" i="17" s="1"/>
  <c r="O128" i="17"/>
  <c r="Q128" i="17" s="1"/>
  <c r="O127" i="17"/>
  <c r="Q127" i="17" s="1"/>
  <c r="O99" i="17"/>
  <c r="Q99" i="17" s="1"/>
  <c r="O101" i="17"/>
  <c r="Q101" i="17" s="1"/>
  <c r="O98" i="17"/>
  <c r="Q98" i="17" s="1"/>
  <c r="O91" i="17"/>
  <c r="Q91" i="17" s="1"/>
  <c r="O89" i="17"/>
  <c r="Q89" i="17" s="1"/>
  <c r="O87" i="17"/>
  <c r="Q87" i="17" s="1"/>
  <c r="O90" i="17"/>
  <c r="Q90" i="17" s="1"/>
  <c r="O86" i="17"/>
  <c r="Q86" i="17" s="1"/>
  <c r="O88" i="17"/>
  <c r="Q88" i="17" s="1"/>
  <c r="R81" i="17"/>
  <c r="R83" i="17"/>
  <c r="T83" i="17"/>
  <c r="O74" i="17"/>
  <c r="Q74" i="17" s="1"/>
  <c r="O76" i="17"/>
  <c r="Q76" i="17" s="1"/>
  <c r="O78" i="17"/>
  <c r="Q78" i="17" s="1"/>
  <c r="O67" i="17"/>
  <c r="Q67" i="17" s="1"/>
  <c r="O64" i="17"/>
  <c r="Q64" i="17" s="1"/>
  <c r="O62" i="17"/>
  <c r="Q62" i="17" s="1"/>
  <c r="R62" i="17" s="1"/>
  <c r="O66" i="17"/>
  <c r="Q66" i="17" s="1"/>
  <c r="O71" i="17"/>
  <c r="Q71" i="17" s="1"/>
  <c r="O69" i="17"/>
  <c r="Q69" i="17" s="1"/>
  <c r="O73" i="17"/>
  <c r="Q73" i="17" s="1"/>
  <c r="O75" i="17"/>
  <c r="Q75" i="17" s="1"/>
  <c r="O79" i="17"/>
  <c r="Q79" i="17" s="1"/>
  <c r="O77" i="17"/>
  <c r="Q77" i="17" s="1"/>
  <c r="O54" i="17"/>
  <c r="Q54" i="17" s="1"/>
  <c r="R15" i="17"/>
  <c r="R22" i="17"/>
  <c r="R19" i="17"/>
  <c r="R57" i="17"/>
  <c r="R17" i="17"/>
  <c r="R50" i="17"/>
  <c r="D99" i="14"/>
  <c r="S8" i="17" l="1"/>
  <c r="U8" i="17"/>
  <c r="V8" i="17" s="1"/>
  <c r="W8" i="17" s="1"/>
  <c r="X8" i="17" s="1"/>
  <c r="U99" i="17"/>
  <c r="V99" i="17" s="1"/>
  <c r="W99" i="17" s="1"/>
  <c r="X99" i="17" s="1"/>
  <c r="S99" i="17"/>
  <c r="O70" i="17"/>
  <c r="Q70" i="17" s="1"/>
  <c r="O117" i="17"/>
  <c r="Q117" i="17" s="1"/>
  <c r="R117" i="17" s="1"/>
  <c r="O134" i="17"/>
  <c r="Q134" i="17" s="1"/>
  <c r="R8" i="17"/>
  <c r="T8" i="17"/>
  <c r="S46" i="17"/>
  <c r="U46" i="17"/>
  <c r="V46" i="17" s="1"/>
  <c r="W46" i="17" s="1"/>
  <c r="X46" i="17" s="1"/>
  <c r="O59" i="17"/>
  <c r="Q59" i="17" s="1"/>
  <c r="O58" i="17"/>
  <c r="Q58" i="17" s="1"/>
  <c r="U16" i="17"/>
  <c r="V16" i="17" s="1"/>
  <c r="W16" i="17" s="1"/>
  <c r="X16" i="17" s="1"/>
  <c r="S16" i="17"/>
  <c r="T16" i="17" s="1"/>
  <c r="U68" i="17"/>
  <c r="V68" i="17" s="1"/>
  <c r="W68" i="17" s="1"/>
  <c r="X68" i="17" s="1"/>
  <c r="S68" i="17"/>
  <c r="S135" i="17"/>
  <c r="T135" i="17" s="1"/>
  <c r="U135" i="17"/>
  <c r="V135" i="17" s="1"/>
  <c r="W135" i="17" s="1"/>
  <c r="X135" i="17" s="1"/>
  <c r="N7" i="17"/>
  <c r="C28" i="14"/>
  <c r="D28" i="14" s="1"/>
  <c r="O26" i="17"/>
  <c r="Q26" i="17" s="1"/>
  <c r="O24" i="17"/>
  <c r="Q24" i="17" s="1"/>
  <c r="R24" i="17" s="1"/>
  <c r="U102" i="17"/>
  <c r="V102" i="17" s="1"/>
  <c r="W102" i="17" s="1"/>
  <c r="X102" i="17" s="1"/>
  <c r="S102" i="17"/>
  <c r="S32" i="17"/>
  <c r="U32" i="17"/>
  <c r="V32" i="17" s="1"/>
  <c r="W32" i="17" s="1"/>
  <c r="X32" i="17" s="1"/>
  <c r="S62" i="17"/>
  <c r="U62" i="17"/>
  <c r="V62" i="17" s="1"/>
  <c r="W62" i="17" s="1"/>
  <c r="X62" i="17" s="1"/>
  <c r="U38" i="17"/>
  <c r="V38" i="17" s="1"/>
  <c r="W38" i="17" s="1"/>
  <c r="X38" i="17" s="1"/>
  <c r="S38" i="17"/>
  <c r="O25" i="17"/>
  <c r="Q25" i="17" s="1"/>
  <c r="O23" i="17"/>
  <c r="Q23" i="17" s="1"/>
  <c r="S15" i="17"/>
  <c r="T15" i="17" s="1"/>
  <c r="U15" i="17"/>
  <c r="V15" i="17" s="1"/>
  <c r="W15" i="17" s="1"/>
  <c r="X15" i="17" s="1"/>
  <c r="S116" i="17"/>
  <c r="U116" i="17"/>
  <c r="V116" i="17" s="1"/>
  <c r="W116" i="17" s="1"/>
  <c r="X116" i="17" s="1"/>
  <c r="N61" i="17"/>
  <c r="C65" i="14"/>
  <c r="D65" i="14" s="1"/>
  <c r="U14" i="17"/>
  <c r="V14" i="17" s="1"/>
  <c r="W14" i="17" s="1"/>
  <c r="X14" i="17" s="1"/>
  <c r="S14" i="17"/>
  <c r="S12" i="17"/>
  <c r="T12" i="17" s="1"/>
  <c r="U12" i="17"/>
  <c r="V12" i="17" s="1"/>
  <c r="W12" i="17" s="1"/>
  <c r="X12" i="17" s="1"/>
  <c r="S54" i="17"/>
  <c r="U54" i="17"/>
  <c r="V54" i="17" s="1"/>
  <c r="W54" i="17" s="1"/>
  <c r="X54" i="17" s="1"/>
  <c r="S133" i="17"/>
  <c r="T133" i="17" s="1"/>
  <c r="U133" i="17"/>
  <c r="V133" i="17" s="1"/>
  <c r="W133" i="17" s="1"/>
  <c r="X133" i="17" s="1"/>
  <c r="S75" i="17"/>
  <c r="U75" i="17"/>
  <c r="V75" i="17" s="1"/>
  <c r="W75" i="17" s="1"/>
  <c r="X75" i="17" s="1"/>
  <c r="S19" i="17"/>
  <c r="T19" i="17" s="1"/>
  <c r="U19" i="17"/>
  <c r="V19" i="17" s="1"/>
  <c r="W19" i="17" s="1"/>
  <c r="X19" i="17" s="1"/>
  <c r="U21" i="17"/>
  <c r="V21" i="17" s="1"/>
  <c r="W21" i="17" s="1"/>
  <c r="X21" i="17" s="1"/>
  <c r="S21" i="17"/>
  <c r="T21" i="17" s="1"/>
  <c r="O84" i="17"/>
  <c r="Q84" i="17" s="1"/>
  <c r="O80" i="17"/>
  <c r="Q80" i="17" s="1"/>
  <c r="O82" i="17"/>
  <c r="Q82" i="17" s="1"/>
  <c r="S33" i="17"/>
  <c r="U33" i="17"/>
  <c r="V33" i="17" s="1"/>
  <c r="W33" i="17" s="1"/>
  <c r="X33" i="17" s="1"/>
  <c r="U49" i="17"/>
  <c r="V49" i="17" s="1"/>
  <c r="W49" i="17" s="1"/>
  <c r="X49" i="17" s="1"/>
  <c r="S49" i="17"/>
  <c r="O11" i="17"/>
  <c r="Q11" i="17" s="1"/>
  <c r="O13" i="17"/>
  <c r="Q13" i="17" s="1"/>
  <c r="O10" i="17"/>
  <c r="Q10" i="17" s="1"/>
  <c r="R14" i="17"/>
  <c r="T14" i="17"/>
  <c r="O72" i="17"/>
  <c r="Q72" i="17" s="1"/>
  <c r="R72" i="17" s="1"/>
  <c r="O121" i="17"/>
  <c r="Q121" i="17" s="1"/>
  <c r="O136" i="17"/>
  <c r="Q136" i="17" s="1"/>
  <c r="R136" i="17" s="1"/>
  <c r="O120" i="17"/>
  <c r="Q120" i="17" s="1"/>
  <c r="T120" i="17" s="1"/>
  <c r="U50" i="17"/>
  <c r="V50" i="17" s="1"/>
  <c r="W50" i="17" s="1"/>
  <c r="X50" i="17" s="1"/>
  <c r="S50" i="17"/>
  <c r="T50" i="17" s="1"/>
  <c r="S43" i="17"/>
  <c r="T43" i="17" s="1"/>
  <c r="U43" i="17"/>
  <c r="V43" i="17" s="1"/>
  <c r="W43" i="17" s="1"/>
  <c r="X43" i="17" s="1"/>
  <c r="O29" i="17"/>
  <c r="Q29" i="17" s="1"/>
  <c r="O30" i="17"/>
  <c r="Q30" i="17" s="1"/>
  <c r="O27" i="17"/>
  <c r="Q27" i="17" s="1"/>
  <c r="O31" i="17"/>
  <c r="Q31" i="17" s="1"/>
  <c r="O42" i="17"/>
  <c r="Q42" i="17" s="1"/>
  <c r="O44" i="17"/>
  <c r="Q44" i="17" s="1"/>
  <c r="O45" i="17"/>
  <c r="Q45" i="17" s="1"/>
  <c r="O94" i="17"/>
  <c r="Q94" i="17" s="1"/>
  <c r="O92" i="17"/>
  <c r="Q92" i="17" s="1"/>
  <c r="O96" i="17"/>
  <c r="Q96" i="17" s="1"/>
  <c r="O102" i="17"/>
  <c r="Q102" i="17" s="1"/>
  <c r="O103" i="17"/>
  <c r="Q103" i="17" s="1"/>
  <c r="O104" i="17"/>
  <c r="Q104" i="17" s="1"/>
  <c r="U74" i="17"/>
  <c r="V74" i="17" s="1"/>
  <c r="W74" i="17" s="1"/>
  <c r="X74" i="17" s="1"/>
  <c r="S74" i="17"/>
  <c r="O36" i="17"/>
  <c r="Q36" i="17" s="1"/>
  <c r="O34" i="17"/>
  <c r="Q34" i="17" s="1"/>
  <c r="O32" i="17"/>
  <c r="Q32" i="17" s="1"/>
  <c r="U123" i="17"/>
  <c r="V123" i="17" s="1"/>
  <c r="W123" i="17" s="1"/>
  <c r="X123" i="17" s="1"/>
  <c r="S123" i="17"/>
  <c r="T123" i="17" s="1"/>
  <c r="U128" i="17"/>
  <c r="V128" i="17" s="1"/>
  <c r="W128" i="17" s="1"/>
  <c r="X128" i="17" s="1"/>
  <c r="S128" i="17"/>
  <c r="O41" i="17"/>
  <c r="Q41" i="17" s="1"/>
  <c r="O40" i="17"/>
  <c r="Q40" i="17" s="1"/>
  <c r="O38" i="17"/>
  <c r="Q38" i="17" s="1"/>
  <c r="U23" i="17"/>
  <c r="V23" i="17" s="1"/>
  <c r="W23" i="17" s="1"/>
  <c r="X23" i="17" s="1"/>
  <c r="S23" i="17"/>
  <c r="S39" i="17"/>
  <c r="T39" i="17" s="1"/>
  <c r="U39" i="17"/>
  <c r="V39" i="17" s="1"/>
  <c r="W39" i="17" s="1"/>
  <c r="X39" i="17" s="1"/>
  <c r="U87" i="17"/>
  <c r="V87" i="17" s="1"/>
  <c r="W87" i="17" s="1"/>
  <c r="X87" i="17" s="1"/>
  <c r="S87" i="17"/>
  <c r="U86" i="17"/>
  <c r="V86" i="17" s="1"/>
  <c r="W86" i="17" s="1"/>
  <c r="X86" i="17" s="1"/>
  <c r="S86" i="17"/>
  <c r="S69" i="17"/>
  <c r="U69" i="17"/>
  <c r="V69" i="17" s="1"/>
  <c r="W69" i="17" s="1"/>
  <c r="X69" i="17" s="1"/>
  <c r="U17" i="17"/>
  <c r="V17" i="17" s="1"/>
  <c r="W17" i="17" s="1"/>
  <c r="X17" i="17" s="1"/>
  <c r="S17" i="17"/>
  <c r="T17" i="17" s="1"/>
  <c r="S110" i="17"/>
  <c r="U110" i="17"/>
  <c r="V110" i="17" s="1"/>
  <c r="W110" i="17" s="1"/>
  <c r="X110" i="17" s="1"/>
  <c r="O46" i="17"/>
  <c r="Q46" i="17" s="1"/>
  <c r="O48" i="17"/>
  <c r="Q48" i="17" s="1"/>
  <c r="U58" i="17"/>
  <c r="V58" i="17" s="1"/>
  <c r="W58" i="17" s="1"/>
  <c r="X58" i="17" s="1"/>
  <c r="S58" i="17"/>
  <c r="U126" i="17"/>
  <c r="V126" i="17" s="1"/>
  <c r="W126" i="17" s="1"/>
  <c r="X126" i="17" s="1"/>
  <c r="S126" i="17"/>
  <c r="T126" i="17" s="1"/>
  <c r="U129" i="17"/>
  <c r="V129" i="17" s="1"/>
  <c r="W129" i="17" s="1"/>
  <c r="X129" i="17" s="1"/>
  <c r="S129" i="17"/>
  <c r="U24" i="17"/>
  <c r="V24" i="17" s="1"/>
  <c r="W24" i="17" s="1"/>
  <c r="X24" i="17" s="1"/>
  <c r="S24" i="17"/>
  <c r="T24" i="17" s="1"/>
  <c r="S22" i="17"/>
  <c r="T22" i="17" s="1"/>
  <c r="U22" i="17"/>
  <c r="V22" i="17" s="1"/>
  <c r="W22" i="17" s="1"/>
  <c r="X22" i="17" s="1"/>
  <c r="U28" i="17"/>
  <c r="V28" i="17" s="1"/>
  <c r="W28" i="17" s="1"/>
  <c r="X28" i="17" s="1"/>
  <c r="S28" i="17"/>
  <c r="U132" i="17"/>
  <c r="V132" i="17" s="1"/>
  <c r="W132" i="17" s="1"/>
  <c r="X132" i="17" s="1"/>
  <c r="S132" i="17"/>
  <c r="T132" i="17" s="1"/>
  <c r="O95" i="17"/>
  <c r="Q95" i="17" s="1"/>
  <c r="O93" i="17"/>
  <c r="Q93" i="17" s="1"/>
  <c r="O97" i="17"/>
  <c r="Q97" i="17" s="1"/>
  <c r="U52" i="17"/>
  <c r="V52" i="17" s="1"/>
  <c r="W52" i="17" s="1"/>
  <c r="X52" i="17" s="1"/>
  <c r="S52" i="17"/>
  <c r="S20" i="17"/>
  <c r="U20" i="17"/>
  <c r="V20" i="17" s="1"/>
  <c r="W20" i="17" s="1"/>
  <c r="X20" i="17" s="1"/>
  <c r="O118" i="17"/>
  <c r="Q118" i="17" s="1"/>
  <c r="S57" i="17"/>
  <c r="T57" i="17" s="1"/>
  <c r="U57" i="17"/>
  <c r="V57" i="17" s="1"/>
  <c r="W57" i="17" s="1"/>
  <c r="X57" i="17" s="1"/>
  <c r="U27" i="17"/>
  <c r="V27" i="17" s="1"/>
  <c r="W27" i="17" s="1"/>
  <c r="X27" i="17" s="1"/>
  <c r="S27" i="17"/>
  <c r="U42" i="17"/>
  <c r="V42" i="17" s="1"/>
  <c r="W42" i="17" s="1"/>
  <c r="X42" i="17" s="1"/>
  <c r="S42" i="17"/>
  <c r="U92" i="17"/>
  <c r="V92" i="17" s="1"/>
  <c r="W92" i="17" s="1"/>
  <c r="X92" i="17" s="1"/>
  <c r="S92" i="17"/>
  <c r="S131" i="17"/>
  <c r="T131" i="17" s="1"/>
  <c r="U131" i="17"/>
  <c r="V131" i="17" s="1"/>
  <c r="W131" i="17" s="1"/>
  <c r="X131" i="17" s="1"/>
  <c r="S125" i="17"/>
  <c r="T125" i="17" s="1"/>
  <c r="U125" i="17"/>
  <c r="V125" i="17" s="1"/>
  <c r="W125" i="17" s="1"/>
  <c r="X125" i="17" s="1"/>
  <c r="S18" i="17"/>
  <c r="T18" i="17" s="1"/>
  <c r="U18" i="17"/>
  <c r="V18" i="17" s="1"/>
  <c r="W18" i="17" s="1"/>
  <c r="X18" i="17" s="1"/>
  <c r="S98" i="17"/>
  <c r="U98" i="17"/>
  <c r="V98" i="17" s="1"/>
  <c r="W98" i="17" s="1"/>
  <c r="X98" i="17" s="1"/>
  <c r="S130" i="17"/>
  <c r="T130" i="17" s="1"/>
  <c r="U130" i="17"/>
  <c r="V130" i="17" s="1"/>
  <c r="W130" i="17" s="1"/>
  <c r="X130" i="17" s="1"/>
  <c r="U124" i="17"/>
  <c r="V124" i="17" s="1"/>
  <c r="W124" i="17" s="1"/>
  <c r="X124" i="17" s="1"/>
  <c r="S124" i="17"/>
  <c r="T124" i="17" s="1"/>
  <c r="R28" i="17"/>
  <c r="T28" i="17"/>
  <c r="U80" i="17"/>
  <c r="V80" i="17" s="1"/>
  <c r="W80" i="17" s="1"/>
  <c r="X80" i="17" s="1"/>
  <c r="S80" i="17"/>
  <c r="U93" i="17"/>
  <c r="V93" i="17" s="1"/>
  <c r="W93" i="17" s="1"/>
  <c r="X93" i="17" s="1"/>
  <c r="S93" i="17"/>
  <c r="O52" i="17"/>
  <c r="Q52" i="17" s="1"/>
  <c r="O53" i="17"/>
  <c r="Q53" i="17" s="1"/>
  <c r="R20" i="17"/>
  <c r="T20" i="17"/>
  <c r="U47" i="17"/>
  <c r="V47" i="17" s="1"/>
  <c r="W47" i="17" s="1"/>
  <c r="X47" i="17" s="1"/>
  <c r="S47" i="17"/>
  <c r="T47" i="17" s="1"/>
  <c r="O35" i="17"/>
  <c r="Q35" i="17" s="1"/>
  <c r="O37" i="17"/>
  <c r="Q37" i="17" s="1"/>
  <c r="O33" i="17"/>
  <c r="Q33" i="17" s="1"/>
  <c r="O51" i="17"/>
  <c r="Q51" i="17" s="1"/>
  <c r="O55" i="17"/>
  <c r="Q55" i="17" s="1"/>
  <c r="O49" i="17"/>
  <c r="Q49" i="17" s="1"/>
  <c r="O56" i="17"/>
  <c r="Q56" i="17" s="1"/>
  <c r="S10" i="17"/>
  <c r="U10" i="17"/>
  <c r="V10" i="17" s="1"/>
  <c r="W10" i="17" s="1"/>
  <c r="X10" i="17" s="1"/>
  <c r="U127" i="17"/>
  <c r="V127" i="17" s="1"/>
  <c r="W127" i="17" s="1"/>
  <c r="X127" i="17" s="1"/>
  <c r="S127" i="17"/>
  <c r="O109" i="17"/>
  <c r="Q109" i="17" s="1"/>
  <c r="O108" i="17"/>
  <c r="Q108" i="17" s="1"/>
  <c r="T136" i="17"/>
  <c r="R134" i="17"/>
  <c r="T134" i="17"/>
  <c r="R113" i="17"/>
  <c r="T113" i="17"/>
  <c r="R111" i="17"/>
  <c r="T111" i="17"/>
  <c r="R115" i="17"/>
  <c r="T115" i="17"/>
  <c r="R110" i="17"/>
  <c r="T110" i="17"/>
  <c r="R112" i="17"/>
  <c r="T112" i="17"/>
  <c r="R114" i="17"/>
  <c r="T114" i="17"/>
  <c r="R120" i="17"/>
  <c r="R121" i="17"/>
  <c r="T121" i="17"/>
  <c r="R116" i="17"/>
  <c r="T116" i="17"/>
  <c r="R118" i="17"/>
  <c r="T118" i="17"/>
  <c r="R122" i="17"/>
  <c r="T122" i="17"/>
  <c r="R119" i="17"/>
  <c r="T119" i="17"/>
  <c r="R133" i="17"/>
  <c r="R131" i="17"/>
  <c r="R129" i="17"/>
  <c r="T129" i="17"/>
  <c r="R128" i="17"/>
  <c r="T128" i="17"/>
  <c r="R127" i="17"/>
  <c r="T127" i="17"/>
  <c r="R101" i="17"/>
  <c r="T101" i="17"/>
  <c r="R99" i="17"/>
  <c r="T99" i="17"/>
  <c r="R100" i="17"/>
  <c r="T100" i="17"/>
  <c r="R98" i="17"/>
  <c r="T98" i="17"/>
  <c r="R87" i="17"/>
  <c r="T87" i="17"/>
  <c r="R89" i="17"/>
  <c r="T89" i="17"/>
  <c r="R91" i="17"/>
  <c r="T91" i="17"/>
  <c r="R88" i="17"/>
  <c r="T88" i="17"/>
  <c r="R86" i="17"/>
  <c r="T86" i="17"/>
  <c r="R90" i="17"/>
  <c r="T90" i="17"/>
  <c r="R77" i="17"/>
  <c r="T77" i="17"/>
  <c r="R67" i="17"/>
  <c r="T67" i="17"/>
  <c r="R69" i="17"/>
  <c r="T69" i="17"/>
  <c r="R79" i="17"/>
  <c r="T79" i="17"/>
  <c r="R71" i="17"/>
  <c r="T71" i="17"/>
  <c r="R66" i="17"/>
  <c r="T66" i="17"/>
  <c r="R70" i="17"/>
  <c r="T70" i="17"/>
  <c r="R78" i="17"/>
  <c r="T78" i="17"/>
  <c r="T62" i="17"/>
  <c r="R75" i="17"/>
  <c r="T75" i="17"/>
  <c r="T72" i="17"/>
  <c r="R76" i="17"/>
  <c r="T76" i="17"/>
  <c r="R73" i="17"/>
  <c r="T73" i="17"/>
  <c r="R64" i="17"/>
  <c r="T64" i="17"/>
  <c r="R68" i="17"/>
  <c r="T68" i="17"/>
  <c r="R74" i="17"/>
  <c r="T74" i="17"/>
  <c r="R54" i="17"/>
  <c r="T54" i="17"/>
  <c r="D100" i="14"/>
  <c r="R35" i="17" l="1"/>
  <c r="T35" i="17"/>
  <c r="T46" i="17"/>
  <c r="R46" i="17"/>
  <c r="T94" i="17"/>
  <c r="R94" i="17"/>
  <c r="R13" i="17"/>
  <c r="T13" i="17"/>
  <c r="R84" i="17"/>
  <c r="T84" i="17"/>
  <c r="T117" i="17"/>
  <c r="T51" i="17"/>
  <c r="R51" i="17"/>
  <c r="R53" i="17"/>
  <c r="T53" i="17"/>
  <c r="R41" i="17"/>
  <c r="T41" i="17"/>
  <c r="T102" i="17"/>
  <c r="R102" i="17"/>
  <c r="R45" i="17"/>
  <c r="T45" i="17"/>
  <c r="R27" i="17"/>
  <c r="T27" i="17"/>
  <c r="R11" i="17"/>
  <c r="T11" i="17"/>
  <c r="T23" i="17"/>
  <c r="R23" i="17"/>
  <c r="S139" i="17"/>
  <c r="O9" i="17"/>
  <c r="Q9" i="17" s="1"/>
  <c r="O7" i="17"/>
  <c r="Q7" i="17" s="1"/>
  <c r="T58" i="17"/>
  <c r="R58" i="17"/>
  <c r="R55" i="17"/>
  <c r="T55" i="17"/>
  <c r="R40" i="17"/>
  <c r="T40" i="17"/>
  <c r="R103" i="17"/>
  <c r="T103" i="17"/>
  <c r="R31" i="17"/>
  <c r="T31" i="17"/>
  <c r="U61" i="17"/>
  <c r="V61" i="17" s="1"/>
  <c r="S61" i="17"/>
  <c r="R26" i="17"/>
  <c r="T26" i="17"/>
  <c r="T56" i="17"/>
  <c r="R56" i="17"/>
  <c r="T33" i="17"/>
  <c r="R33" i="17"/>
  <c r="R52" i="17"/>
  <c r="T52" i="17"/>
  <c r="R97" i="17"/>
  <c r="T97" i="17"/>
  <c r="T32" i="17"/>
  <c r="R32" i="17"/>
  <c r="T96" i="17"/>
  <c r="R96" i="17"/>
  <c r="R44" i="17"/>
  <c r="T44" i="17"/>
  <c r="T30" i="17"/>
  <c r="R30" i="17"/>
  <c r="R82" i="17"/>
  <c r="T82" i="17"/>
  <c r="R25" i="17"/>
  <c r="T25" i="17"/>
  <c r="U7" i="17"/>
  <c r="V7" i="17" s="1"/>
  <c r="S7" i="17"/>
  <c r="S60" i="17" s="1"/>
  <c r="R59" i="17"/>
  <c r="T59" i="17"/>
  <c r="T95" i="17"/>
  <c r="R95" i="17"/>
  <c r="T36" i="17"/>
  <c r="R36" i="17"/>
  <c r="T49" i="17"/>
  <c r="R49" i="17"/>
  <c r="T37" i="17"/>
  <c r="R37" i="17"/>
  <c r="R93" i="17"/>
  <c r="T93" i="17"/>
  <c r="R48" i="17"/>
  <c r="T48" i="17"/>
  <c r="R38" i="17"/>
  <c r="T38" i="17"/>
  <c r="R34" i="17"/>
  <c r="T34" i="17"/>
  <c r="R104" i="17"/>
  <c r="T104" i="17"/>
  <c r="R92" i="17"/>
  <c r="T92" i="17"/>
  <c r="R42" i="17"/>
  <c r="T42" i="17"/>
  <c r="R29" i="17"/>
  <c r="T29" i="17"/>
  <c r="R10" i="17"/>
  <c r="T10" i="17"/>
  <c r="T80" i="17"/>
  <c r="R80" i="17"/>
  <c r="O65" i="17"/>
  <c r="Q65" i="17" s="1"/>
  <c r="O61" i="17"/>
  <c r="Q61" i="17" s="1"/>
  <c r="O63" i="17"/>
  <c r="Q63" i="17" s="1"/>
  <c r="O107" i="17"/>
  <c r="Q107" i="17" s="1"/>
  <c r="O106" i="17"/>
  <c r="Q106" i="17" s="1"/>
  <c r="R108" i="17"/>
  <c r="T108" i="17"/>
  <c r="R109" i="17"/>
  <c r="T109" i="17"/>
  <c r="D102" i="14"/>
  <c r="D103" i="14"/>
  <c r="R61" i="17" l="1"/>
  <c r="T61" i="17"/>
  <c r="R63" i="17"/>
  <c r="T63" i="17"/>
  <c r="R65" i="17"/>
  <c r="T65" i="17"/>
  <c r="S140" i="17"/>
  <c r="T7" i="17"/>
  <c r="R7" i="17"/>
  <c r="Q60" i="17"/>
  <c r="T60" i="17" s="1"/>
  <c r="V60" i="17"/>
  <c r="W7" i="17"/>
  <c r="W61" i="17"/>
  <c r="V139" i="17"/>
  <c r="V140" i="17" s="1"/>
  <c r="R9" i="17"/>
  <c r="T9" i="17"/>
  <c r="R107" i="17"/>
  <c r="T107" i="17"/>
  <c r="R106" i="17"/>
  <c r="T106" i="17"/>
  <c r="Q139" i="17"/>
  <c r="Q140" i="17" s="1"/>
  <c r="R105" i="17"/>
  <c r="T105" i="17"/>
  <c r="X7" i="17" l="1"/>
  <c r="W60" i="17"/>
  <c r="X61" i="17"/>
  <c r="W139" i="17"/>
  <c r="R60" i="17"/>
  <c r="T139" i="17"/>
  <c r="T140" i="17" s="1"/>
  <c r="R139" i="17"/>
  <c r="W140" i="17" l="1"/>
  <c r="R143" i="17"/>
  <c r="S143" i="17"/>
  <c r="R140" i="17"/>
  <c r="B66" i="4" s="1"/>
  <c r="B67" i="4" s="1"/>
  <c r="R144" i="17"/>
  <c r="R145" i="17" s="1"/>
  <c r="S144" i="17"/>
</calcChain>
</file>

<file path=xl/sharedStrings.xml><?xml version="1.0" encoding="utf-8"?>
<sst xmlns="http://schemas.openxmlformats.org/spreadsheetml/2006/main" count="801" uniqueCount="596">
  <si>
    <t>Monthly Frequency</t>
  </si>
  <si>
    <t>Gross Up</t>
  </si>
  <si>
    <t>Totals</t>
  </si>
  <si>
    <t>Total Pick Ups</t>
  </si>
  <si>
    <t>Per Ton</t>
  </si>
  <si>
    <t>Per Pound</t>
  </si>
  <si>
    <t xml:space="preserve">Current Rate </t>
  </si>
  <si>
    <t>New Rate per ton</t>
  </si>
  <si>
    <t>Increase</t>
  </si>
  <si>
    <t>Meeks Weights</t>
  </si>
  <si>
    <t>Adjustment factor</t>
  </si>
  <si>
    <t>Collected Revenue Excess/(Deficiency)</t>
  </si>
  <si>
    <t>Residential</t>
  </si>
  <si>
    <t>Commercial</t>
  </si>
  <si>
    <t>Tariff Page</t>
  </si>
  <si>
    <t>Total</t>
  </si>
  <si>
    <t>Scheduled Service</t>
  </si>
  <si>
    <t>Monthly Factor</t>
  </si>
  <si>
    <t>Lbs. per ton</t>
  </si>
  <si>
    <t>Yds. Per ton</t>
  </si>
  <si>
    <t>Weekly Pickup (WG)</t>
  </si>
  <si>
    <t>Monthly (MG)</t>
  </si>
  <si>
    <t>Every Other Week (EOWG)</t>
  </si>
  <si>
    <t>Tons Collected</t>
  </si>
  <si>
    <t>Grossed Up Increase per ton</t>
  </si>
  <si>
    <t>Gross Up Factors</t>
  </si>
  <si>
    <t>B&amp;O tax</t>
  </si>
  <si>
    <t>WUTC fees</t>
  </si>
  <si>
    <t>Factor</t>
  </si>
  <si>
    <t>Disposal Fee Revenue Increase</t>
  </si>
  <si>
    <t>Extras</t>
  </si>
  <si>
    <t>Total Tonnage</t>
  </si>
  <si>
    <t>Total Pounds</t>
  </si>
  <si>
    <t>Calculated Annual Pounds</t>
  </si>
  <si>
    <t>Adjusted Annual Pounds</t>
  </si>
  <si>
    <t>Company Proposed Tariff</t>
  </si>
  <si>
    <t>Company Proposed Revenue</t>
  </si>
  <si>
    <t>Company Current Tariff</t>
  </si>
  <si>
    <t>Company Current Revenue</t>
  </si>
  <si>
    <t>Monthly Customers</t>
  </si>
  <si>
    <t>Tariff Rate Increase</t>
  </si>
  <si>
    <t>Company Increased Revenue</t>
  </si>
  <si>
    <t>Revised Tariff Rate</t>
  </si>
  <si>
    <t>1 unit</t>
  </si>
  <si>
    <t>2 units</t>
  </si>
  <si>
    <t>3 units</t>
  </si>
  <si>
    <t>n/a</t>
  </si>
  <si>
    <t>4 units</t>
  </si>
  <si>
    <t>5 units</t>
  </si>
  <si>
    <t>6 units</t>
  </si>
  <si>
    <t>Bad Debts</t>
  </si>
  <si>
    <t>Res'l</t>
  </si>
  <si>
    <t>7 unit</t>
  </si>
  <si>
    <t>5 Times per Week</t>
  </si>
  <si>
    <t>3 Times per Week</t>
  </si>
  <si>
    <t>2 Times per Week</t>
  </si>
  <si>
    <t>Pickups:</t>
  </si>
  <si>
    <t>1 can</t>
  </si>
  <si>
    <t>2 cans</t>
  </si>
  <si>
    <t>3 cans</t>
  </si>
  <si>
    <t>4 cans</t>
  </si>
  <si>
    <t>5 cans</t>
  </si>
  <si>
    <t>6 cans</t>
  </si>
  <si>
    <t>Supercan 60</t>
  </si>
  <si>
    <t>Supercan 90</t>
  </si>
  <si>
    <t>Once a month</t>
  </si>
  <si>
    <t>Com'l</t>
  </si>
  <si>
    <t>Cans</t>
  </si>
  <si>
    <t>1 yd container</t>
  </si>
  <si>
    <t>1.5 yd container</t>
  </si>
  <si>
    <t>2 yd container</t>
  </si>
  <si>
    <t>3 yd container</t>
  </si>
  <si>
    <t>4 yd container</t>
  </si>
  <si>
    <t>6 yd container</t>
  </si>
  <si>
    <t>8 yd container</t>
  </si>
  <si>
    <t>3 yd packer/compactor</t>
  </si>
  <si>
    <t>2 yd packer/compactor</t>
  </si>
  <si>
    <t>4 yd packer/compactor</t>
  </si>
  <si>
    <t>5 yd packer/compactor</t>
  </si>
  <si>
    <t>6 yd packer/compactor</t>
  </si>
  <si>
    <t>Yards</t>
  </si>
  <si>
    <t>Pounds per Pickup</t>
  </si>
  <si>
    <t>20 gal minican</t>
  </si>
  <si>
    <t>*</t>
  </si>
  <si>
    <t>Res'l &amp; Com'l</t>
  </si>
  <si>
    <t>Revenue Inc from Co Proposed Rates</t>
  </si>
  <si>
    <t>Company Proposed Rates</t>
  </si>
  <si>
    <t>Adjustment Factor Calculation</t>
  </si>
  <si>
    <t>4 Times per Week</t>
  </si>
  <si>
    <t>1 yd packer/compactor</t>
  </si>
  <si>
    <t>1.5 yd packer/compactor</t>
  </si>
  <si>
    <t>8 yd packer/compactor</t>
  </si>
  <si>
    <t>No Current Customers</t>
  </si>
  <si>
    <t>35 gallon Can</t>
  </si>
  <si>
    <t>1 YD TEMP</t>
  </si>
  <si>
    <t>4 YD TEMP</t>
  </si>
  <si>
    <t>Proposed Increase</t>
  </si>
  <si>
    <t>Grays Harbor County</t>
  </si>
  <si>
    <t>Prepaid Bag</t>
  </si>
  <si>
    <t>Item 55, Pg. 15</t>
  </si>
  <si>
    <t>Oversized Container</t>
  </si>
  <si>
    <t>Mini Can Weekly</t>
  </si>
  <si>
    <t>1 Can Weekly</t>
  </si>
  <si>
    <t>2 Can Weekly</t>
  </si>
  <si>
    <t>3 Can Weekly</t>
  </si>
  <si>
    <t>4 Can Weekly</t>
  </si>
  <si>
    <t>5 Can Weekly</t>
  </si>
  <si>
    <t>65 Gal Weekly</t>
  </si>
  <si>
    <t>95 Gal Weekly</t>
  </si>
  <si>
    <t>1 Can EOW</t>
  </si>
  <si>
    <t>65 Gal EOW</t>
  </si>
  <si>
    <t>95 Gal EOW</t>
  </si>
  <si>
    <t>1 Can Monthly</t>
  </si>
  <si>
    <t>65 Gal Monthly</t>
  </si>
  <si>
    <t>95 Gal Monthly</t>
  </si>
  <si>
    <t>Item 100, Pg. 21</t>
  </si>
  <si>
    <t>32 Gal Extra</t>
  </si>
  <si>
    <t>65 Gal Extra</t>
  </si>
  <si>
    <t>95 Gal Extra</t>
  </si>
  <si>
    <t>On-Call</t>
  </si>
  <si>
    <t>Item 150, Pg. 22</t>
  </si>
  <si>
    <t>Bulky Material 1-4yd</t>
  </si>
  <si>
    <t>Bulky Material per Yard</t>
  </si>
  <si>
    <t>Bulky Material Min Charge</t>
  </si>
  <si>
    <t>Loose Material 1-4yd</t>
  </si>
  <si>
    <t>Loose Material per Yard</t>
  </si>
  <si>
    <t>Loose Material Min Charge</t>
  </si>
  <si>
    <t>Item 207, Pg. 26</t>
  </si>
  <si>
    <t>Overfilled Container</t>
  </si>
  <si>
    <t>Item 230, Pg. 28</t>
  </si>
  <si>
    <t>Grays Harbor</t>
  </si>
  <si>
    <t>Item 240, Pg. 29</t>
  </si>
  <si>
    <t>1 Yard - First PU</t>
  </si>
  <si>
    <t>1.5 Yard - First PU</t>
  </si>
  <si>
    <t>2 Yard - First PU</t>
  </si>
  <si>
    <t>3 Yard - First PU</t>
  </si>
  <si>
    <t>4 Yard - First PU</t>
  </si>
  <si>
    <t>6 Yard - First PU</t>
  </si>
  <si>
    <t>8 Yard - First PU</t>
  </si>
  <si>
    <t>1 Yard - Addt'l PU</t>
  </si>
  <si>
    <t>1.5 Yard - Addt'l PU</t>
  </si>
  <si>
    <t>2 Yard - Addt'l PU</t>
  </si>
  <si>
    <t>3 Yard - Addt'l PU</t>
  </si>
  <si>
    <t>4 Yard - Addt'l PU</t>
  </si>
  <si>
    <t>6 Yard - Addt'l PU</t>
  </si>
  <si>
    <t>8 Yard - Addt'l PU</t>
  </si>
  <si>
    <t>1 Yard - Special</t>
  </si>
  <si>
    <t>1.5 Yard - Special</t>
  </si>
  <si>
    <t>2 Yard - Special</t>
  </si>
  <si>
    <t>3 Yard - Special</t>
  </si>
  <si>
    <t>4 Yard - Special</t>
  </si>
  <si>
    <t>6 Yard - Special</t>
  </si>
  <si>
    <t>8 Yard - Special</t>
  </si>
  <si>
    <t>1 Yard - Temp</t>
  </si>
  <si>
    <t>1.5 Yard - Temp</t>
  </si>
  <si>
    <t>2 Yard - Temp</t>
  </si>
  <si>
    <t>3 Yard - Temp</t>
  </si>
  <si>
    <t>4 Yard - Temp</t>
  </si>
  <si>
    <t>6 Yard - Temp</t>
  </si>
  <si>
    <t>8 Yard - Temp</t>
  </si>
  <si>
    <t>32 Gal- First 5 Grouped</t>
  </si>
  <si>
    <t>32 Gal - Over 5 Grouped</t>
  </si>
  <si>
    <t>32 Gal - Single</t>
  </si>
  <si>
    <t>32 Gal Monthly Min</t>
  </si>
  <si>
    <t>32 Gal - Special</t>
  </si>
  <si>
    <t>32 Gal - Addt'l Special</t>
  </si>
  <si>
    <t>65 Gal- First 5 Grouped</t>
  </si>
  <si>
    <t>65 Gal - Over 5 Grouped</t>
  </si>
  <si>
    <t>95 Gal- First 5 Grouped</t>
  </si>
  <si>
    <t>95 Gal - Over 5 Grouped</t>
  </si>
  <si>
    <t>October 1, 2012 - September 30, 2013</t>
  </si>
  <si>
    <t>Annual</t>
  </si>
  <si>
    <t xml:space="preserve">Monthly </t>
  </si>
  <si>
    <t>Rev</t>
  </si>
  <si>
    <t>2012 Tarrif</t>
  </si>
  <si>
    <t>2013 Tarrif</t>
  </si>
  <si>
    <t>Jul-Sep 13</t>
  </si>
  <si>
    <t>Customer</t>
  </si>
  <si>
    <t>Unit</t>
  </si>
  <si>
    <t>Per Mo</t>
  </si>
  <si>
    <t>Service Code</t>
  </si>
  <si>
    <t>Service Code Description</t>
  </si>
  <si>
    <t>Revenue</t>
  </si>
  <si>
    <t>Customers</t>
  </si>
  <si>
    <t>Count</t>
  </si>
  <si>
    <t>RESIDENTIAL SERVICES</t>
  </si>
  <si>
    <t>RESIDENTIAL GARBAGE</t>
  </si>
  <si>
    <t>RL020.0G1W001</t>
  </si>
  <si>
    <t>20 GL 1X WK 1</t>
  </si>
  <si>
    <t>RL020.0G1W001NOREC</t>
  </si>
  <si>
    <t>20 GL 1X WK NO RECY 1</t>
  </si>
  <si>
    <t>SL020.0G1W001NOREC</t>
  </si>
  <si>
    <t>RL020.0G1W003WREC</t>
  </si>
  <si>
    <t>20 GL 1X WK W/RECY 3</t>
  </si>
  <si>
    <t>RL032.0G1M001</t>
  </si>
  <si>
    <t>32 GL 1X MO 1</t>
  </si>
  <si>
    <t>SL032.0G1M001</t>
  </si>
  <si>
    <t>RL032.0G1M001NOREC</t>
  </si>
  <si>
    <t>32 GL 1X MO NO RECY 1</t>
  </si>
  <si>
    <t>RL032.0G1M001WREC</t>
  </si>
  <si>
    <t>32 GL 1X MO W/RECY 1</t>
  </si>
  <si>
    <t>RL032.0G1W001NOREC</t>
  </si>
  <si>
    <t>32 GL 1X WK NO RECY 1</t>
  </si>
  <si>
    <t>RL032.0G1W001WREC</t>
  </si>
  <si>
    <t>32 GL 1X WK W/RECY 1</t>
  </si>
  <si>
    <t>RL032.0G1W002NOREC</t>
  </si>
  <si>
    <t>32 GL 1X WK NO RECY 2</t>
  </si>
  <si>
    <t>RL032.0G1W002WREC</t>
  </si>
  <si>
    <t>32 GL 1X WK W/RECY 2</t>
  </si>
  <si>
    <t>RL032.0G1W003NOREC</t>
  </si>
  <si>
    <t>32 GL 1X WK NO RECY 3</t>
  </si>
  <si>
    <t>RL032.0G1W003WREC</t>
  </si>
  <si>
    <t>32 GL 1X WK W/RECY 3</t>
  </si>
  <si>
    <t>RL032.0G1W004NOREC</t>
  </si>
  <si>
    <t>32 GL 1X WK NO RECY 4</t>
  </si>
  <si>
    <t>RL032.0G1W004WREC</t>
  </si>
  <si>
    <t>32 GL 1X WK W/RECY 4</t>
  </si>
  <si>
    <t>RL032.0GEO001NOREC</t>
  </si>
  <si>
    <t>32 GL EOW NO RECY 1</t>
  </si>
  <si>
    <t>RL032.0GEO001WREC</t>
  </si>
  <si>
    <t>32 GL EOW W/RECY 1</t>
  </si>
  <si>
    <t>SL065.0G1M001</t>
  </si>
  <si>
    <t>65 GL 1X MO 1</t>
  </si>
  <si>
    <t>SL065.0G1M001NOREC</t>
  </si>
  <si>
    <t>65 GL 1X MO NO RECY 1</t>
  </si>
  <si>
    <t>SL065.0G1M001WREC</t>
  </si>
  <si>
    <t>65 GL 1X MO W/RECY 1</t>
  </si>
  <si>
    <t>SL065.0G1M002NOREC</t>
  </si>
  <si>
    <t>65 GL 1X MO NO RECY 2</t>
  </si>
  <si>
    <t>SL065.0G1W001</t>
  </si>
  <si>
    <t>65 GL 1X WK 1</t>
  </si>
  <si>
    <t>SL065.0G1W001NOREC</t>
  </si>
  <si>
    <t>65 GL 1X WK NO RECY 1</t>
  </si>
  <si>
    <t>SL065.0G1W001WREC</t>
  </si>
  <si>
    <t>65 GL 1X WK W/RECY 1</t>
  </si>
  <si>
    <t>SL065.0G1W002</t>
  </si>
  <si>
    <t>65 GL 1X WK 2</t>
  </si>
  <si>
    <t>SL065.0G1W002WREC</t>
  </si>
  <si>
    <t>65 GL 1X WK W/RECY 2</t>
  </si>
  <si>
    <t>SL065.0GEO001</t>
  </si>
  <si>
    <t>65 GL EOW 1</t>
  </si>
  <si>
    <t>SL065.0GEO001NOREC</t>
  </si>
  <si>
    <t>65 GL EOW NO RECY 1</t>
  </si>
  <si>
    <t>SL065.0GEO001WREC</t>
  </si>
  <si>
    <t>65 GL EOW W/RECY 1</t>
  </si>
  <si>
    <t>SL065.0GEO002NOREC</t>
  </si>
  <si>
    <t>65 GL EOW NO RECY 2</t>
  </si>
  <si>
    <t>SL065.0GEO002WREC</t>
  </si>
  <si>
    <t>65 GL EOW W/RECY 2</t>
  </si>
  <si>
    <t>SL065.0GEO003NOREC</t>
  </si>
  <si>
    <t>65 GL EOW NO RECY 3</t>
  </si>
  <si>
    <t>SL095.0G1M001</t>
  </si>
  <si>
    <t>95 GL 1X MO 1</t>
  </si>
  <si>
    <t>SL095.0G1M001NOREC</t>
  </si>
  <si>
    <t>95 GL 1X MO NO RECY 1</t>
  </si>
  <si>
    <t>SL095.0G1M001WREC</t>
  </si>
  <si>
    <t>95 GL 1X MO W/RECY 1</t>
  </si>
  <si>
    <t>SL095.0G1M002WREC</t>
  </si>
  <si>
    <t>95 GL 1X MO W/RECY 2</t>
  </si>
  <si>
    <t>SL095.0G1W001</t>
  </si>
  <si>
    <t>95 GL 1X WK 1</t>
  </si>
  <si>
    <t>SL095.0G1W001NOREC</t>
  </si>
  <si>
    <t>95 GL 1X WK NO RECY 1</t>
  </si>
  <si>
    <t>SL095.0G1W001WREC</t>
  </si>
  <si>
    <t>95 GL 1X WK W/RECY 1</t>
  </si>
  <si>
    <t>SL095.0G1M0001WRECSPCL</t>
  </si>
  <si>
    <t>95 GL 1X MO S/D W/RECY 1</t>
  </si>
  <si>
    <t>SL095.0G1W002WREC</t>
  </si>
  <si>
    <t>95 GL 1X WK W/RECY 2</t>
  </si>
  <si>
    <t>SL095.0GEO001</t>
  </si>
  <si>
    <t>95 GL EOW 1</t>
  </si>
  <si>
    <t>SL095.0GEO001NOREC</t>
  </si>
  <si>
    <t>95 GL EOW NO RECY 1</t>
  </si>
  <si>
    <t>SL095.0GEO001WREC</t>
  </si>
  <si>
    <t>95 GL EOW W/RECY 1</t>
  </si>
  <si>
    <t>SL32R-OC</t>
  </si>
  <si>
    <t>32 GL ON CALL - RES</t>
  </si>
  <si>
    <t>OC-RES</t>
  </si>
  <si>
    <t>ON CALL SERVICE - RES</t>
  </si>
  <si>
    <t>EXTRA-RES</t>
  </si>
  <si>
    <t>EXTRA CAN, BAG, BOX - RES</t>
  </si>
  <si>
    <t>OW-RES</t>
  </si>
  <si>
    <t>OVERFILL / OVERWEIGHT CAN</t>
  </si>
  <si>
    <t>OS-RES</t>
  </si>
  <si>
    <t>OVERSIZE CAN - RES</t>
  </si>
  <si>
    <t>EXTRAYDG-RES</t>
  </si>
  <si>
    <t>EXTRA YARDAGE - RES</t>
  </si>
  <si>
    <t>SP32-RES</t>
  </si>
  <si>
    <t>SPECIAL PICK UP 32 GL - RES</t>
  </si>
  <si>
    <t>SPCL32-RES</t>
  </si>
  <si>
    <t>SPECIAL 32 GL - RES</t>
  </si>
  <si>
    <t>SP65-RES</t>
  </si>
  <si>
    <t>SPECIAL PICK UP 65 GL - R</t>
  </si>
  <si>
    <t>SP95-RES</t>
  </si>
  <si>
    <t>SPECIAL PICK UP 95 GL - R</t>
  </si>
  <si>
    <t>SPCL95-RES</t>
  </si>
  <si>
    <t>SPECIAL 95 GL - RES</t>
  </si>
  <si>
    <t>APPLIANCER</t>
  </si>
  <si>
    <t>APPLIANCE REMOVAL - RES</t>
  </si>
  <si>
    <t>ACCESS-RES</t>
  </si>
  <si>
    <t>ACCESS FEE - RES</t>
  </si>
  <si>
    <t>REINSTATE-RES</t>
  </si>
  <si>
    <t>REINSTATE FEE - RES</t>
  </si>
  <si>
    <t>RTRNCART65-RES</t>
  </si>
  <si>
    <t>RETURN TRIP 65 GL - RES</t>
  </si>
  <si>
    <t>RTRNTRIP-RES</t>
  </si>
  <si>
    <t>RETURN TRIP FEE - RES</t>
  </si>
  <si>
    <t>RTRNCART-RES</t>
  </si>
  <si>
    <t>RETURN TRIP FEE CART - RE</t>
  </si>
  <si>
    <t>ROLL1PTRES</t>
  </si>
  <si>
    <t>ROLL OUT PART TIME RES</t>
  </si>
  <si>
    <t>TIRELG-RES</t>
  </si>
  <si>
    <t>TIRE FEE LARGE - RES</t>
  </si>
  <si>
    <t>TIRESM-RES</t>
  </si>
  <si>
    <t>TIRE FEE SMALL - RES</t>
  </si>
  <si>
    <t>DRIVEINEOW-RES</t>
  </si>
  <si>
    <t>DRIVE IN EOW - RES</t>
  </si>
  <si>
    <t>DRIVEIN-RES</t>
  </si>
  <si>
    <t>DRIVE IN SERVICE - RES</t>
  </si>
  <si>
    <t>WI5-RES</t>
  </si>
  <si>
    <t>WALK IN 101-125' - RES</t>
  </si>
  <si>
    <t>WI2-RES</t>
  </si>
  <si>
    <t>WALK IN 26-50' - RES</t>
  </si>
  <si>
    <t>WI3-RES</t>
  </si>
  <si>
    <t>WALK IN 51-75' - RES</t>
  </si>
  <si>
    <t>WI-RES</t>
  </si>
  <si>
    <t>WALK IN 6-25' - RES</t>
  </si>
  <si>
    <t>WI4-RES</t>
  </si>
  <si>
    <t>WALK IN 76-100' - RES</t>
  </si>
  <si>
    <t>UNRETURN-RES</t>
  </si>
  <si>
    <t xml:space="preserve">CONTAINER UNRETURNED FEE </t>
  </si>
  <si>
    <t>ADJ-RES</t>
  </si>
  <si>
    <t>ADJUSTMENT SERVICE - RES</t>
  </si>
  <si>
    <t>GOOD-RES</t>
  </si>
  <si>
    <t>GOODWILL CREDIT - RES</t>
  </si>
  <si>
    <t>CITYFEE-RES</t>
  </si>
  <si>
    <t>CITY FEE - RES</t>
  </si>
  <si>
    <t>DONATIONRES</t>
  </si>
  <si>
    <t>DONATED SERVICE RESIDENTIAL</t>
  </si>
  <si>
    <t>GFUEL-ACCT ADJ</t>
  </si>
  <si>
    <t>FUEL &amp; MATERIAL SURCHARGE</t>
  </si>
  <si>
    <t>GFUEL-RES</t>
  </si>
  <si>
    <t>TOTAL RESIDENTIAL GARBAGE</t>
  </si>
  <si>
    <t>COMMERCIAL SERVICES</t>
  </si>
  <si>
    <t>COMMERCIAL GARBAGE</t>
  </si>
  <si>
    <t>FL001.0Y1W001</t>
  </si>
  <si>
    <t>1 YD 1X WK 1</t>
  </si>
  <si>
    <t>RL001.0Y1W001</t>
  </si>
  <si>
    <t>FL001.0Y2W001</t>
  </si>
  <si>
    <t>1 YD 2X WK 1</t>
  </si>
  <si>
    <t>RL001.0Y2W001</t>
  </si>
  <si>
    <t>FL001.0YEO001</t>
  </si>
  <si>
    <t>1 YD EOW 1</t>
  </si>
  <si>
    <t>RL001.0YEO001</t>
  </si>
  <si>
    <t>RL001.5Y1M001</t>
  </si>
  <si>
    <t>1.5 YD 1X MO 1</t>
  </si>
  <si>
    <t>FL001.5Y1W001</t>
  </si>
  <si>
    <t>1.5 YD 1X WK 1</t>
  </si>
  <si>
    <t>RL001.5Y1W001</t>
  </si>
  <si>
    <t>FL001.5Y2W001</t>
  </si>
  <si>
    <t>1.5 YD 2X WK 1</t>
  </si>
  <si>
    <t>RL001.5Y2W001</t>
  </si>
  <si>
    <t>FL001.5YEO001</t>
  </si>
  <si>
    <t>1.5 YD EOW 1</t>
  </si>
  <si>
    <t>RL001.5YEO001</t>
  </si>
  <si>
    <t>FL002.0Y1W001</t>
  </si>
  <si>
    <t>2 YD 1X WK 1</t>
  </si>
  <si>
    <t>RL002.0Y1W001</t>
  </si>
  <si>
    <t>FL002.0Y2W001</t>
  </si>
  <si>
    <t>2 YD 2X WK 1</t>
  </si>
  <si>
    <t>RL002.0Y2W001</t>
  </si>
  <si>
    <t>FL002.0YEO001</t>
  </si>
  <si>
    <t>2 YD EOW 1</t>
  </si>
  <si>
    <t>RL002.0YEO001</t>
  </si>
  <si>
    <t>FL003.0Y1W001</t>
  </si>
  <si>
    <t>3 YD 1X WK 1</t>
  </si>
  <si>
    <t>FL003.0Y2W001</t>
  </si>
  <si>
    <t>3 YD 2X WK 1</t>
  </si>
  <si>
    <t>FL003.0YEO001</t>
  </si>
  <si>
    <t>3 YD EOW 1</t>
  </si>
  <si>
    <t>FL004.0Y1W001</t>
  </si>
  <si>
    <t>4 YD 1X WK 1</t>
  </si>
  <si>
    <t>FL004.0Y2W001</t>
  </si>
  <si>
    <t>4 YD 2X WK 1</t>
  </si>
  <si>
    <t>FL004.0YEO001</t>
  </si>
  <si>
    <t>4 YD EOW 1</t>
  </si>
  <si>
    <t>FL006.0Y1W001</t>
  </si>
  <si>
    <t>6 YD 1X WK 1</t>
  </si>
  <si>
    <t>FL006.0Y2W001</t>
  </si>
  <si>
    <t>6 YD 2X WK 1</t>
  </si>
  <si>
    <t>FL006.0YEO001</t>
  </si>
  <si>
    <t>6 YD EOW 1</t>
  </si>
  <si>
    <t>FL008.0Y1W001</t>
  </si>
  <si>
    <t>8 YD 1X WK 1</t>
  </si>
  <si>
    <t>FL008.0YEO001</t>
  </si>
  <si>
    <t>8 YD EOW 1</t>
  </si>
  <si>
    <t>RL032.0G1W001COMM</t>
  </si>
  <si>
    <t>32 GL 1X WK COMM 1</t>
  </si>
  <si>
    <t>RL032.0G1W001WRECC</t>
  </si>
  <si>
    <t>32 GL 1X WK W/RECY COMM 1</t>
  </si>
  <si>
    <t>RL032.0G1W001NORECC</t>
  </si>
  <si>
    <t xml:space="preserve">32 GL 1X WK NO RECY COMM </t>
  </si>
  <si>
    <t>RL032.0G1W002COMM</t>
  </si>
  <si>
    <t>32 GL 1X WK COMM 2</t>
  </si>
  <si>
    <t>RL032.0G1W002WRECC</t>
  </si>
  <si>
    <t>32 GL 1X WK W/RECY COMM 2</t>
  </si>
  <si>
    <t>RL032.0G1W003WRECC</t>
  </si>
  <si>
    <t>32 GL 1X WK W/RECY COMM 3</t>
  </si>
  <si>
    <t>RL032.0G1W003COMM</t>
  </si>
  <si>
    <t>32 GL 1X WK COMM 3</t>
  </si>
  <si>
    <t>RL032.0G1W006WRECC</t>
  </si>
  <si>
    <t>32 GL 1X WK W/RECY COMM 6</t>
  </si>
  <si>
    <t>RL032.0G1W009WRECC</t>
  </si>
  <si>
    <t>32 GL 1X WK W/RECY COMM 9</t>
  </si>
  <si>
    <t>SL065.0G1W001COMM</t>
  </si>
  <si>
    <t>65 GL 1X WK COMM 1</t>
  </si>
  <si>
    <t>SL065.0G1W001WRECC</t>
  </si>
  <si>
    <t>65 GL 1X WK W/RECY COMM 1</t>
  </si>
  <si>
    <t>SL065.0GEO001COMM</t>
  </si>
  <si>
    <t>65 GL EOW COMM 1</t>
  </si>
  <si>
    <t>SL065.0GEO001WRECC</t>
  </si>
  <si>
    <t>65 GL EOW W/RECY COMM 1</t>
  </si>
  <si>
    <t>SL065.0G1W002WRECC</t>
  </si>
  <si>
    <t>65 GL 1X WK W/RECY COMM 2</t>
  </si>
  <si>
    <t>SL065.0G1W003COMM</t>
  </si>
  <si>
    <t>65 GL 1X WK COMM 3</t>
  </si>
  <si>
    <t>SL095.0G1W001COMM</t>
  </si>
  <si>
    <t>95 GL 1X WK COMM 1</t>
  </si>
  <si>
    <t>SL095.0G1W001NORECC</t>
  </si>
  <si>
    <t xml:space="preserve">95 GL 1X WK NO RECY COMM </t>
  </si>
  <si>
    <t>SL095.0G1W001WRECC</t>
  </si>
  <si>
    <t>95 GL 1X WK W/RECY COMM 1</t>
  </si>
  <si>
    <t>SL095.0G1W002WRECC</t>
  </si>
  <si>
    <t>95 GL 1X WK W/RECY COMM 2</t>
  </si>
  <si>
    <t>SL095.0G1W002COMM</t>
  </si>
  <si>
    <t>95 GL 1X WK COMM 2</t>
  </si>
  <si>
    <t>SL095.0GEO001NORECC</t>
  </si>
  <si>
    <t>95 GL EOW NO RECY COMM 1</t>
  </si>
  <si>
    <t>SL095.0GEO001WRECC</t>
  </si>
  <si>
    <t>95 GL EOW W/RECY COMM 1</t>
  </si>
  <si>
    <t>RL001.0YXX001TEMPC</t>
  </si>
  <si>
    <t>RL001.5YXX001TEMPC</t>
  </si>
  <si>
    <t>1.5 YD TEMP</t>
  </si>
  <si>
    <t>RL002.0YXX001TEMPC</t>
  </si>
  <si>
    <t>2 YD TEMP</t>
  </si>
  <si>
    <t>FL002.0YXX001TEMPC</t>
  </si>
  <si>
    <t xml:space="preserve">2 YD TEMP </t>
  </si>
  <si>
    <t>RL004.0YXX001TEMPC</t>
  </si>
  <si>
    <t>FL004.0YXX001TEMPC</t>
  </si>
  <si>
    <t>4 YD TEMP 1</t>
  </si>
  <si>
    <t>SP1-COMM</t>
  </si>
  <si>
    <t>SPECIAL PICK UP 1 YD - CO</t>
  </si>
  <si>
    <t>SP1.5-COMM</t>
  </si>
  <si>
    <t xml:space="preserve">SPECIAL PICK UP 1.5 YD - </t>
  </si>
  <si>
    <t>SP2-COMM</t>
  </si>
  <si>
    <t>SPECIAL PICK UP 2 YD - CO</t>
  </si>
  <si>
    <t>SP3-COMM</t>
  </si>
  <si>
    <t>SPECIAL PICK UP 3 YD - CO</t>
  </si>
  <si>
    <t>SP4-COMM</t>
  </si>
  <si>
    <t>SPECIAL PICK UP 4 YD - CO</t>
  </si>
  <si>
    <t>SP6-COMM</t>
  </si>
  <si>
    <t>SPECIAL PICK UP 6 YD - CO</t>
  </si>
  <si>
    <t>SP8-COMM</t>
  </si>
  <si>
    <t>SPECIAL PICKUP 8 YD - COMM</t>
  </si>
  <si>
    <t>EXTRA-COMM</t>
  </si>
  <si>
    <t>EXTRA CAN, BAG, BOX - COM</t>
  </si>
  <si>
    <t>EXTRAYDG-COM</t>
  </si>
  <si>
    <t>EXTRA YARDAGE - COMM</t>
  </si>
  <si>
    <t>OC-COMM</t>
  </si>
  <si>
    <t>ON CALL SERVICE - COMM</t>
  </si>
  <si>
    <t>CANCOUNT-COMM</t>
  </si>
  <si>
    <t>CAN COUNT - COMM</t>
  </si>
  <si>
    <t>DIST1CAN-COMM</t>
  </si>
  <si>
    <t>DISTRIBUTED 1 CAN - COMM</t>
  </si>
  <si>
    <t>RENT1TEMP-COMM</t>
  </si>
  <si>
    <t>RENT 1 YD TEMP - COMM</t>
  </si>
  <si>
    <t>RENT1.5TEMP-COMM</t>
  </si>
  <si>
    <t>RENT 1.5 YD TEMP - COMM</t>
  </si>
  <si>
    <t>RENT2TEMP-COMM</t>
  </si>
  <si>
    <t>RENT 2 YD TEMP - COMM</t>
  </si>
  <si>
    <t>RENT4TEMP-COMM</t>
  </si>
  <si>
    <t>RENT 4 YD TEMP - COMM</t>
  </si>
  <si>
    <t>RENT6TEMP-COMM</t>
  </si>
  <si>
    <t>RENT 6 YD TEMP - COMM</t>
  </si>
  <si>
    <t>DEL1TEMP-COMM</t>
  </si>
  <si>
    <t xml:space="preserve">DELIVERY FEE 1 YD TEMP - </t>
  </si>
  <si>
    <t>DEL1.5TEMP-COMM</t>
  </si>
  <si>
    <t xml:space="preserve">DELIVERY FEE 1.5 YD TEMP </t>
  </si>
  <si>
    <t>DEL2TEMP-COMM</t>
  </si>
  <si>
    <t xml:space="preserve">DELIVERY FEE 2 YD TEMP - </t>
  </si>
  <si>
    <t>DEL4TEMP-COMM</t>
  </si>
  <si>
    <t xml:space="preserve">DELIVERY FEE 4 YD TEMP - </t>
  </si>
  <si>
    <t>DEL6TEMP-COMM</t>
  </si>
  <si>
    <t xml:space="preserve">DELIVERY FEE 6 YD TEMP - </t>
  </si>
  <si>
    <t>DRIVEINEOW-COMM</t>
  </si>
  <si>
    <t>DRIVE IN EOW - COMM</t>
  </si>
  <si>
    <t>DRIVEIN-COMM</t>
  </si>
  <si>
    <t>DRIVE IN SERVICE - COMM</t>
  </si>
  <si>
    <t>WI1-COMM</t>
  </si>
  <si>
    <t>WALK IN 6-25' - COMM</t>
  </si>
  <si>
    <t>ACCESS-COMM</t>
  </si>
  <si>
    <t>ACCESS FEE - COMM</t>
  </si>
  <si>
    <t>ACCESS2W-COMM</t>
  </si>
  <si>
    <t>ACCESS FEE 2X WK - COMM</t>
  </si>
  <si>
    <t>REINSTATE-COMM</t>
  </si>
  <si>
    <t>REINSTATE FEE - COMM</t>
  </si>
  <si>
    <t>RTRNCART65-COMM</t>
  </si>
  <si>
    <t>RETURN TRIP 65 GL - COMM</t>
  </si>
  <si>
    <t>RTRNTRIP-COMM</t>
  </si>
  <si>
    <t>RETURN TRIP FEE - COMM</t>
  </si>
  <si>
    <t>APPLIANCEC</t>
  </si>
  <si>
    <t>APPLIANCE REMOVAL - COMM</t>
  </si>
  <si>
    <t>UNRETURN-COMM</t>
  </si>
  <si>
    <t>DONATIONC</t>
  </si>
  <si>
    <t>DONATED SERVICE COMM</t>
  </si>
  <si>
    <t>LCKC</t>
  </si>
  <si>
    <t>LOCK CHARGE - COMM</t>
  </si>
  <si>
    <t>LCKCEOW</t>
  </si>
  <si>
    <t>LOCK CHARGE EOW - COMM</t>
  </si>
  <si>
    <t>TIRE-COMM</t>
  </si>
  <si>
    <t>TIRE FEE - COMM</t>
  </si>
  <si>
    <t>DISP-COMM</t>
  </si>
  <si>
    <t>DISPOSAL FEE - COMM</t>
  </si>
  <si>
    <t>ADJ-COMM</t>
  </si>
  <si>
    <t>ADJUSTMENT SERVICE - COMM</t>
  </si>
  <si>
    <t>GOOD-COMM</t>
  </si>
  <si>
    <t>GOODWILL CREDIT - COMM</t>
  </si>
  <si>
    <t>TIME-COMM</t>
  </si>
  <si>
    <t>TIME FEE 1 - COMM</t>
  </si>
  <si>
    <t>CLEAN2-COMM</t>
  </si>
  <si>
    <t>GFUEL-COM</t>
  </si>
  <si>
    <t>TOTAL COMMERCIAL GARBAGE</t>
  </si>
  <si>
    <t>* not on meeks - calculated by staff in previous cases</t>
  </si>
  <si>
    <t xml:space="preserve">  For Non-Recycling Customers Add</t>
  </si>
  <si>
    <t xml:space="preserve">  per month</t>
  </si>
  <si>
    <t>Harold LeMay Enterprises, Inc. G-98</t>
  </si>
  <si>
    <t>dba Harbor Disposal and Eastern Gray's Harbor Disposal</t>
  </si>
  <si>
    <t>Dump Fee Calc References</t>
  </si>
  <si>
    <t>Month</t>
  </si>
  <si>
    <t>Expense</t>
  </si>
  <si>
    <t>Tons</t>
  </si>
  <si>
    <t>RO</t>
  </si>
  <si>
    <t>Packer</t>
  </si>
  <si>
    <t>TOTAL</t>
  </si>
  <si>
    <t>PER GL</t>
  </si>
  <si>
    <t>Difference</t>
  </si>
  <si>
    <t>DF Allocation</t>
  </si>
  <si>
    <t>Calculated Tons</t>
  </si>
  <si>
    <t>%</t>
  </si>
  <si>
    <t>Allocated Tons</t>
  </si>
  <si>
    <t>Allocated $</t>
  </si>
  <si>
    <t>Regulated</t>
  </si>
  <si>
    <t>Non-Reg</t>
  </si>
  <si>
    <t>From "Grays Harbor Dump Fee Filing Effective 1.1.14.xlsx"</t>
  </si>
  <si>
    <t>Note from Heather Garland: Customer Counts and Disposal Schedule have been copied from TG-132091.  The information shaded gray was taken directly from the audited file.</t>
  </si>
  <si>
    <t>Increase per Ton</t>
  </si>
  <si>
    <t>Disposal Summary</t>
  </si>
  <si>
    <t>Propsed Rates Effective 1-1-2017</t>
  </si>
  <si>
    <t>Current Tariff Rate</t>
  </si>
  <si>
    <t>New 1/1/2017 Rate</t>
  </si>
  <si>
    <t>Item 245, Pg 30</t>
  </si>
  <si>
    <t>Dump Fee Calculation</t>
  </si>
  <si>
    <t>Effective 1-1-2017</t>
  </si>
  <si>
    <t>Note from Heather Garland: Customer Counts and Disposal Schedule have been copied from TG-132091.</t>
  </si>
  <si>
    <t>Annual Pickups</t>
  </si>
  <si>
    <t>Company Calculated Rate</t>
  </si>
  <si>
    <t>Check</t>
  </si>
  <si>
    <t xml:space="preserve"> Company Over/ (Under)</t>
  </si>
  <si>
    <t>Revised Revenue</t>
  </si>
  <si>
    <t>Revised Revenue Increase</t>
  </si>
  <si>
    <t>Roll-Off</t>
  </si>
  <si>
    <t>With Recycling</t>
  </si>
  <si>
    <t>Without Recycling</t>
  </si>
  <si>
    <t>Item 100, Pg. 20</t>
  </si>
  <si>
    <t>1 YD 1X WK 1 - 1ST PU</t>
  </si>
  <si>
    <t>1 YD 2X WK 1 - 1ST PU</t>
  </si>
  <si>
    <t>1 YD EOW 1 - 1ST PU</t>
  </si>
  <si>
    <t>1.5 YD 1X WK 1 - 1ST PU</t>
  </si>
  <si>
    <t>1.5 YD 1X MO 1 - 1ST PU</t>
  </si>
  <si>
    <t>1.5 YD 2X WK 1 - 1ST PU</t>
  </si>
  <si>
    <t>1.5 YD EOW 1 - 1ST PU</t>
  </si>
  <si>
    <t>2 YD 1X WK 1 - 1ST PU</t>
  </si>
  <si>
    <t>2 YD 2X WK 1 - 1ST PU</t>
  </si>
  <si>
    <t>2 YD EOW 1 - 1ST PU</t>
  </si>
  <si>
    <t>3 YD 1X WK 1 - 1ST PU</t>
  </si>
  <si>
    <t>3 YD 2X WK 1 - 1ST PU</t>
  </si>
  <si>
    <t>3 YD EOW 1 - 1ST PU</t>
  </si>
  <si>
    <t>4 YD 1X WK 1 - 1ST PU</t>
  </si>
  <si>
    <t>4 YD 2X WK 1 - 1ST PU</t>
  </si>
  <si>
    <t>4 YD EOW 1 - 1ST PU</t>
  </si>
  <si>
    <t>6 YD 1X WK 1 - 1ST PU</t>
  </si>
  <si>
    <t>6 YD 2X WK 1 - 1ST PU</t>
  </si>
  <si>
    <t>6 YD EOW 1 - 1ST PU</t>
  </si>
  <si>
    <t>8 YD 1X WK 1 - 1ST PU</t>
  </si>
  <si>
    <t>8 YD EOW 1 - 1ST PU</t>
  </si>
  <si>
    <t>5 Can Weekly - No Recycling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</si>
</sst>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8" formatCode="&quot;$&quot;#,##0.00_);[Red]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&quot;$&quot;* #,##0.000_);_(&quot;$&quot;* \(#,##0.000\);_(&quot;$&quot;* &quot;-&quot;??_);_(@_)"/>
    <numFmt numFmtId="166" formatCode="_(* #,##0_);_(* \(#,##0\);_(* &quot;-&quot;??_);_(@_)"/>
    <numFmt numFmtId="167" formatCode="_(* #,##0.000000_);_(* \(#,##0.000000\);_(* &quot;-&quot;??_);_(@_)"/>
    <numFmt numFmtId="168" formatCode="0.0000%"/>
    <numFmt numFmtId="169" formatCode="_(&quot;$&quot;* #,##0.000000_);_(&quot;$&quot;* \(#,##0.000000\);_(&quot;$&quot;* &quot;-&quot;??_);_(@_)"/>
    <numFmt numFmtId="170" formatCode="0.000000"/>
    <numFmt numFmtId="171" formatCode="0.0%"/>
    <numFmt numFmtId="172" formatCode="General_)"/>
    <numFmt numFmtId="173" formatCode="&quot;$&quot;#,##0\ ;\(&quot;$&quot;#,##0\)"/>
    <numFmt numFmtId="174" formatCode="_([$$-409]* #,##0.00_);_([$$-409]* \(#,##0.00\);_([$$-409]* &quot;-&quot;??_);_(@_)"/>
  </numFmts>
  <fonts count="7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2"/>
      <name val="Arial"/>
      <family val="2"/>
    </font>
    <font>
      <sz val="8"/>
      <color indexed="56"/>
      <name val="Arial"/>
      <family val="2"/>
    </font>
    <font>
      <sz val="10"/>
      <name val="MS Sans Serif"/>
      <family val="2"/>
    </font>
    <font>
      <b/>
      <sz val="10"/>
      <name val="MS Sans Serif"/>
      <family val="2"/>
    </font>
    <font>
      <sz val="11"/>
      <color indexed="8"/>
      <name val="Calibri"/>
      <family val="2"/>
    </font>
    <font>
      <sz val="11"/>
      <color rgb="FFFF0000"/>
      <name val="Calibri"/>
      <family val="2"/>
      <scheme val="minor"/>
    </font>
    <font>
      <sz val="10"/>
      <color indexed="12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sz val="10"/>
      <color indexed="8"/>
      <name val="Arial"/>
      <family val="2"/>
    </font>
    <font>
      <sz val="10"/>
      <name val="Times New Roman"/>
      <family val="1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sz val="12"/>
      <name val="Helv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b/>
      <sz val="11"/>
      <color indexed="51"/>
      <name val="Calibri"/>
      <family val="2"/>
    </font>
    <font>
      <sz val="12"/>
      <name val="Courier"/>
      <family val="3"/>
    </font>
    <font>
      <sz val="9"/>
      <color indexed="8"/>
      <name val="Arial"/>
      <family val="2"/>
    </font>
    <font>
      <b/>
      <sz val="10"/>
      <color indexed="12"/>
      <name val="Arial"/>
      <family val="2"/>
    </font>
    <font>
      <b/>
      <sz val="15"/>
      <color indexed="61"/>
      <name val="Calibri"/>
      <family val="2"/>
    </font>
    <font>
      <b/>
      <sz val="13"/>
      <color indexed="61"/>
      <name val="Calibri"/>
      <family val="2"/>
    </font>
    <font>
      <b/>
      <sz val="11"/>
      <color indexed="61"/>
      <name val="Calibri"/>
      <family val="2"/>
    </font>
    <font>
      <u/>
      <sz val="10"/>
      <color indexed="12"/>
      <name val="Arial"/>
      <family val="2"/>
    </font>
    <font>
      <u/>
      <sz val="11"/>
      <color indexed="12"/>
      <name val="Calibri"/>
      <family val="2"/>
    </font>
    <font>
      <sz val="11"/>
      <color indexed="61"/>
      <name val="Calibri"/>
      <family val="2"/>
    </font>
    <font>
      <sz val="11"/>
      <color indexed="51"/>
      <name val="Calibri"/>
      <family val="2"/>
    </font>
    <font>
      <sz val="11"/>
      <color indexed="59"/>
      <name val="Calibri"/>
      <family val="2"/>
    </font>
    <font>
      <i/>
      <sz val="10"/>
      <color indexed="10"/>
      <name val="Arial"/>
      <family val="2"/>
    </font>
    <font>
      <b/>
      <sz val="18"/>
      <color indexed="61"/>
      <name val="Cambria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</font>
    <font>
      <b/>
      <sz val="11"/>
      <color indexed="52"/>
      <name val="Calibri"/>
      <family val="2"/>
    </font>
    <font>
      <sz val="8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2"/>
      <name val="Arial MT"/>
    </font>
    <font>
      <b/>
      <u/>
      <sz val="11"/>
      <name val="Arial"/>
      <family val="2"/>
    </font>
    <font>
      <sz val="10"/>
      <name val="Arial"/>
      <family val="2"/>
    </font>
    <font>
      <sz val="11"/>
      <color rgb="FF00610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color indexed="50"/>
      <name val="Calibri"/>
      <family val="2"/>
      <scheme val="minor"/>
    </font>
    <font>
      <b/>
      <u/>
      <sz val="11"/>
      <color indexed="8"/>
      <name val="Calibri"/>
      <family val="2"/>
      <scheme val="minor"/>
    </font>
    <font>
      <sz val="11"/>
      <color rgb="FF3366FF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sz val="11"/>
      <color indexed="10"/>
      <name val="Calibri"/>
      <family val="2"/>
      <scheme val="minor"/>
    </font>
    <font>
      <sz val="12"/>
      <name val="CG Omega"/>
    </font>
    <font>
      <sz val="11"/>
      <color theme="1"/>
      <name val="Arial"/>
      <family val="2"/>
    </font>
    <font>
      <b/>
      <i/>
      <sz val="11"/>
      <color theme="1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mediumGray">
        <fgColor indexed="22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4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48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63"/>
      </patternFill>
    </fill>
    <fill>
      <patternFill patternType="solid">
        <fgColor indexed="45"/>
        <bgColor indexed="64"/>
      </patternFill>
    </fill>
    <fill>
      <patternFill patternType="solid">
        <fgColor indexed="65"/>
        <bgColor indexed="10"/>
      </patternFill>
    </fill>
    <fill>
      <patternFill patternType="gray125">
        <fgColor indexed="10"/>
      </patternFill>
    </fill>
    <fill>
      <patternFill patternType="solid">
        <fgColor indexed="42"/>
      </patternFill>
    </fill>
    <fill>
      <patternFill patternType="solid">
        <fgColor indexed="2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31"/>
      </patternFill>
    </fill>
    <fill>
      <patternFill patternType="solid">
        <fgColor indexed="30"/>
      </patternFill>
    </fill>
    <fill>
      <patternFill patternType="solid">
        <fgColor indexed="11"/>
      </patternFill>
    </fill>
    <fill>
      <patternFill patternType="solid">
        <fgColor indexed="36"/>
      </patternFill>
    </fill>
    <fill>
      <patternFill patternType="solid">
        <fgColor indexed="62"/>
      </patternFill>
    </fill>
    <fill>
      <patternFill patternType="solid">
        <fgColor indexed="57"/>
      </patternFill>
    </fill>
    <fill>
      <patternFill patternType="solid">
        <fgColor rgb="FFC6EFCE"/>
      </patternFill>
    </fill>
  </fills>
  <borders count="3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62"/>
      </left>
      <right style="double">
        <color indexed="62"/>
      </right>
      <top style="double">
        <color indexed="62"/>
      </top>
      <bottom style="double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57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2" fillId="0" borderId="0" applyFont="0" applyFill="0" applyBorder="0" applyAlignment="0" applyProtection="0"/>
    <xf numFmtId="38" fontId="5" fillId="0" borderId="0" applyNumberFormat="0" applyFont="0" applyFill="0" applyBorder="0">
      <alignment horizontal="left" indent="4"/>
      <protection locked="0"/>
    </xf>
    <xf numFmtId="0" fontId="6" fillId="0" borderId="0" applyNumberFormat="0" applyFont="0" applyFill="0" applyBorder="0" applyAlignment="0" applyProtection="0">
      <alignment horizontal="left"/>
    </xf>
    <xf numFmtId="15" fontId="6" fillId="0" borderId="0" applyFont="0" applyFill="0" applyBorder="0" applyAlignment="0" applyProtection="0"/>
    <xf numFmtId="4" fontId="6" fillId="0" borderId="0" applyFont="0" applyFill="0" applyBorder="0" applyAlignment="0" applyProtection="0"/>
    <xf numFmtId="0" fontId="7" fillId="0" borderId="2">
      <alignment horizontal="center"/>
    </xf>
    <xf numFmtId="3" fontId="6" fillId="0" borderId="0" applyFont="0" applyFill="0" applyBorder="0" applyAlignment="0" applyProtection="0"/>
    <xf numFmtId="0" fontId="6" fillId="3" borderId="0" applyNumberFormat="0" applyFont="0" applyBorder="0" applyAlignment="0" applyProtection="0"/>
    <xf numFmtId="166" fontId="4" fillId="4" borderId="0" applyFont="0" applyFill="0" applyBorder="0" applyAlignment="0" applyProtection="0">
      <alignment wrapText="1"/>
    </xf>
    <xf numFmtId="0" fontId="13" fillId="0" borderId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2" borderId="0" applyNumberFormat="0" applyBorder="0" applyAlignment="0" applyProtection="0"/>
    <xf numFmtId="0" fontId="8" fillId="11" borderId="0" applyNumberFormat="0" applyBorder="0" applyAlignment="0" applyProtection="0"/>
    <xf numFmtId="0" fontId="8" fillId="7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14" fillId="11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9" borderId="0" applyNumberFormat="0" applyBorder="0" applyAlignment="0" applyProtection="0"/>
    <xf numFmtId="0" fontId="14" fillId="17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2" borderId="0" applyNumberFormat="0" applyBorder="0" applyAlignment="0" applyProtection="0"/>
    <xf numFmtId="0" fontId="14" fillId="11" borderId="0" applyNumberFormat="0" applyBorder="0" applyAlignment="0" applyProtection="0"/>
    <xf numFmtId="0" fontId="14" fillId="15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18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9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20" borderId="0" applyNumberFormat="0" applyBorder="0" applyAlignment="0" applyProtection="0"/>
    <xf numFmtId="0" fontId="14" fillId="16" borderId="0" applyNumberFormat="0" applyBorder="0" applyAlignment="0" applyProtection="0"/>
    <xf numFmtId="0" fontId="14" fillId="21" borderId="0" applyNumberFormat="0" applyBorder="0" applyAlignment="0" applyProtection="0"/>
    <xf numFmtId="0" fontId="14" fillId="15" borderId="0" applyNumberFormat="0" applyBorder="0" applyAlignment="0" applyProtection="0"/>
    <xf numFmtId="0" fontId="14" fillId="19" borderId="0" applyNumberFormat="0" applyBorder="0" applyAlignment="0" applyProtection="0"/>
    <xf numFmtId="0" fontId="14" fillId="22" borderId="0" applyNumberFormat="0" applyBorder="0" applyAlignment="0" applyProtection="0"/>
    <xf numFmtId="41" fontId="2" fillId="0" borderId="0"/>
    <xf numFmtId="41" fontId="2" fillId="0" borderId="0"/>
    <xf numFmtId="41" fontId="2" fillId="0" borderId="0"/>
    <xf numFmtId="41" fontId="2" fillId="0" borderId="0"/>
    <xf numFmtId="0" fontId="15" fillId="23" borderId="0" applyNumberFormat="0" applyBorder="0" applyAlignment="0" applyProtection="0"/>
    <xf numFmtId="0" fontId="15" fillId="14" borderId="0" applyNumberFormat="0" applyBorder="0" applyAlignment="0" applyProtection="0"/>
    <xf numFmtId="3" fontId="2" fillId="0" borderId="0"/>
    <xf numFmtId="3" fontId="2" fillId="0" borderId="0"/>
    <xf numFmtId="3" fontId="2" fillId="0" borderId="0"/>
    <xf numFmtId="3" fontId="2" fillId="0" borderId="0"/>
    <xf numFmtId="0" fontId="16" fillId="24" borderId="4" applyNumberFormat="0" applyAlignment="0" applyProtection="0"/>
    <xf numFmtId="0" fontId="32" fillId="24" borderId="4" applyNumberFormat="0" applyAlignment="0" applyProtection="0"/>
    <xf numFmtId="0" fontId="17" fillId="25" borderId="5" applyNumberFormat="0" applyAlignment="0" applyProtection="0"/>
    <xf numFmtId="0" fontId="17" fillId="26" borderId="6" applyNumberFormat="0" applyAlignment="0" applyProtection="0"/>
    <xf numFmtId="0" fontId="2" fillId="27" borderId="0">
      <alignment horizontal="center"/>
    </xf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" fontId="18" fillId="0" borderId="0"/>
    <xf numFmtId="0" fontId="33" fillId="0" borderId="0"/>
    <xf numFmtId="0" fontId="33" fillId="0" borderId="0"/>
    <xf numFmtId="0" fontId="34" fillId="28" borderId="1" applyAlignment="0">
      <alignment horizontal="right"/>
      <protection locked="0"/>
    </xf>
    <xf numFmtId="44" fontId="13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35" fillId="29" borderId="0">
      <alignment horizontal="right"/>
      <protection locked="0"/>
    </xf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2" fontId="35" fillId="29" borderId="0">
      <alignment horizontal="right"/>
      <protection locked="0"/>
    </xf>
    <xf numFmtId="0" fontId="21" fillId="11" borderId="0" applyNumberFormat="0" applyBorder="0" applyAlignment="0" applyProtection="0"/>
    <xf numFmtId="0" fontId="21" fillId="30" borderId="0" applyNumberFormat="0" applyBorder="0" applyAlignment="0" applyProtection="0"/>
    <xf numFmtId="0" fontId="22" fillId="0" borderId="7" applyNumberFormat="0" applyFill="0" applyAlignment="0" applyProtection="0"/>
    <xf numFmtId="0" fontId="36" fillId="0" borderId="8" applyNumberFormat="0" applyFill="0" applyAlignment="0" applyProtection="0"/>
    <xf numFmtId="0" fontId="23" fillId="0" borderId="9" applyNumberFormat="0" applyFill="0" applyAlignment="0" applyProtection="0"/>
    <xf numFmtId="0" fontId="37" fillId="0" borderId="10" applyNumberFormat="0" applyFill="0" applyAlignment="0" applyProtection="0"/>
    <xf numFmtId="0" fontId="24" fillId="0" borderId="11" applyNumberFormat="0" applyFill="0" applyAlignment="0" applyProtection="0"/>
    <xf numFmtId="0" fontId="38" fillId="0" borderId="12" applyNumberFormat="0" applyFill="0" applyAlignment="0" applyProtection="0"/>
    <xf numFmtId="0" fontId="24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25" fillId="13" borderId="4" applyNumberFormat="0" applyAlignment="0" applyProtection="0"/>
    <xf numFmtId="0" fontId="41" fillId="13" borderId="4" applyNumberFormat="0" applyAlignment="0" applyProtection="0"/>
    <xf numFmtId="3" fontId="10" fillId="31" borderId="0">
      <protection locked="0"/>
    </xf>
    <xf numFmtId="4" fontId="10" fillId="31" borderId="0">
      <protection locked="0"/>
    </xf>
    <xf numFmtId="0" fontId="26" fillId="0" borderId="13" applyNumberFormat="0" applyFill="0" applyAlignment="0" applyProtection="0"/>
    <xf numFmtId="0" fontId="42" fillId="0" borderId="14" applyNumberFormat="0" applyFill="0" applyAlignment="0" applyProtection="0"/>
    <xf numFmtId="0" fontId="27" fillId="13" borderId="0" applyNumberFormat="0" applyBorder="0" applyAlignment="0" applyProtection="0"/>
    <xf numFmtId="0" fontId="43" fillId="13" borderId="0" applyNumberFormat="0" applyBorder="0" applyAlignment="0" applyProtection="0"/>
    <xf numFmtId="43" fontId="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8" fillId="0" borderId="0"/>
    <xf numFmtId="0" fontId="2" fillId="0" borderId="0"/>
    <xf numFmtId="0" fontId="18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2" fillId="0" borderId="0"/>
    <xf numFmtId="0" fontId="28" fillId="10" borderId="15" applyNumberFormat="0" applyFont="0" applyAlignment="0" applyProtection="0"/>
    <xf numFmtId="0" fontId="18" fillId="10" borderId="15" applyNumberFormat="0" applyFont="0" applyAlignment="0" applyProtection="0"/>
    <xf numFmtId="171" fontId="44" fillId="0" borderId="0" applyNumberFormat="0"/>
    <xf numFmtId="0" fontId="29" fillId="24" borderId="16" applyNumberFormat="0" applyAlignment="0" applyProtection="0"/>
    <xf numFmtId="0" fontId="24" fillId="24" borderId="17" applyNumberFormat="0" applyAlignment="0" applyProtection="0"/>
    <xf numFmtId="9" fontId="13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8" fillId="0" borderId="0">
      <alignment vertical="top"/>
    </xf>
    <xf numFmtId="0" fontId="18" fillId="0" borderId="0">
      <alignment vertical="top"/>
    </xf>
    <xf numFmtId="0" fontId="18" fillId="0" borderId="0" applyNumberFormat="0" applyBorder="0" applyAlignment="0"/>
    <xf numFmtId="0" fontId="30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31" fillId="0" borderId="18" applyNumberFormat="0" applyFill="0" applyAlignment="0" applyProtection="0"/>
    <xf numFmtId="0" fontId="31" fillId="0" borderId="19" applyNumberFormat="0" applyFill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47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  <xf numFmtId="0" fontId="2" fillId="0" borderId="0"/>
    <xf numFmtId="0" fontId="8" fillId="12" borderId="0" applyNumberFormat="0" applyBorder="0" applyAlignment="0" applyProtection="0"/>
    <xf numFmtId="0" fontId="8" fillId="33" borderId="0" applyNumberFormat="0" applyBorder="0" applyAlignment="0" applyProtection="0"/>
    <xf numFmtId="0" fontId="8" fillId="12" borderId="0" applyNumberFormat="0" applyBorder="0" applyAlignment="0" applyProtection="0"/>
    <xf numFmtId="0" fontId="8" fillId="23" borderId="0" applyNumberFormat="0" applyBorder="0" applyAlignment="0" applyProtection="0"/>
    <xf numFmtId="0" fontId="8" fillId="7" borderId="0" applyNumberFormat="0" applyBorder="0" applyAlignment="0" applyProtection="0"/>
    <xf numFmtId="0" fontId="8" fillId="23" borderId="0" applyNumberFormat="0" applyBorder="0" applyAlignment="0" applyProtection="0"/>
    <xf numFmtId="0" fontId="8" fillId="17" borderId="0" applyNumberFormat="0" applyBorder="0" applyAlignment="0" applyProtection="0"/>
    <xf numFmtId="0" fontId="14" fillId="21" borderId="0" applyNumberFormat="0" applyBorder="0" applyAlignment="0" applyProtection="0"/>
    <xf numFmtId="0" fontId="14" fillId="34" borderId="0" applyNumberFormat="0" applyBorder="0" applyAlignment="0" applyProtection="0"/>
    <xf numFmtId="0" fontId="14" fillId="35" borderId="0" applyNumberFormat="0" applyBorder="0" applyAlignment="0" applyProtection="0"/>
    <xf numFmtId="0" fontId="14" fillId="36" borderId="0" applyNumberFormat="0" applyBorder="0" applyAlignment="0" applyProtection="0"/>
    <xf numFmtId="0" fontId="14" fillId="21" borderId="0" applyNumberFormat="0" applyBorder="0" applyAlignment="0" applyProtection="0"/>
    <xf numFmtId="0" fontId="14" fillId="21" borderId="0" applyNumberFormat="0" applyBorder="0" applyAlignment="0" applyProtection="0"/>
    <xf numFmtId="0" fontId="14" fillId="37" borderId="0" applyNumberFormat="0" applyBorder="0" applyAlignment="0" applyProtection="0"/>
    <xf numFmtId="0" fontId="14" fillId="38" borderId="0" applyNumberFormat="0" applyBorder="0" applyAlignment="0" applyProtection="0"/>
    <xf numFmtId="0" fontId="14" fillId="16" borderId="0" applyNumberFormat="0" applyBorder="0" applyAlignment="0" applyProtection="0"/>
    <xf numFmtId="0" fontId="48" fillId="24" borderId="4" applyNumberFormat="0" applyAlignment="0" applyProtection="0"/>
    <xf numFmtId="0" fontId="48" fillId="12" borderId="4" applyNumberFormat="0" applyAlignment="0" applyProtection="0"/>
    <xf numFmtId="43" fontId="8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8" fillId="0" borderId="0" applyFont="0" applyFill="0" applyBorder="0" applyAlignment="0" applyProtection="0"/>
    <xf numFmtId="14" fontId="2" fillId="0" borderId="0"/>
    <xf numFmtId="1" fontId="2" fillId="0" borderId="0">
      <alignment horizontal="center"/>
    </xf>
    <xf numFmtId="0" fontId="22" fillId="0" borderId="26" applyNumberFormat="0" applyFill="0" applyAlignment="0" applyProtection="0"/>
    <xf numFmtId="0" fontId="50" fillId="0" borderId="27" applyNumberFormat="0" applyFill="0" applyAlignment="0" applyProtection="0"/>
    <xf numFmtId="0" fontId="23" fillId="0" borderId="10" applyNumberFormat="0" applyFill="0" applyAlignment="0" applyProtection="0"/>
    <xf numFmtId="0" fontId="51" fillId="0" borderId="10" applyNumberFormat="0" applyFill="0" applyAlignment="0" applyProtection="0"/>
    <xf numFmtId="0" fontId="24" fillId="0" borderId="28" applyNumberFormat="0" applyFill="0" applyAlignment="0" applyProtection="0"/>
    <xf numFmtId="0" fontId="52" fillId="0" borderId="29" applyNumberFormat="0" applyFill="0" applyAlignment="0" applyProtection="0"/>
    <xf numFmtId="0" fontId="53" fillId="0" borderId="30" applyNumberFormat="0" applyFill="0" applyAlignment="0" applyProtection="0"/>
    <xf numFmtId="0" fontId="54" fillId="13" borderId="0" applyNumberFormat="0" applyBorder="0" applyAlignment="0" applyProtection="0"/>
    <xf numFmtId="0" fontId="8" fillId="0" borderId="0"/>
    <xf numFmtId="0" fontId="1" fillId="0" borderId="0"/>
    <xf numFmtId="0" fontId="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" fillId="0" borderId="0"/>
    <xf numFmtId="0" fontId="8" fillId="0" borderId="0"/>
    <xf numFmtId="0" fontId="8" fillId="10" borderId="15" applyNumberFormat="0" applyFont="0" applyAlignment="0" applyProtection="0"/>
    <xf numFmtId="0" fontId="49" fillId="10" borderId="15" applyNumberFormat="0" applyFont="0" applyAlignment="0" applyProtection="0"/>
    <xf numFmtId="9" fontId="49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37" fontId="56" fillId="0" borderId="0"/>
    <xf numFmtId="0" fontId="31" fillId="0" borderId="31" applyNumberFormat="0" applyFill="0" applyAlignment="0" applyProtection="0"/>
    <xf numFmtId="0" fontId="31" fillId="0" borderId="32" applyNumberFormat="0" applyFill="0" applyAlignment="0" applyProtection="0"/>
    <xf numFmtId="0" fontId="57" fillId="0" borderId="0"/>
    <xf numFmtId="43" fontId="57" fillId="0" borderId="0" applyFont="0" applyFill="0" applyBorder="0" applyAlignment="0" applyProtection="0"/>
    <xf numFmtId="44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0" fontId="5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6" fillId="0" borderId="0"/>
    <xf numFmtId="0" fontId="8" fillId="7" borderId="0" applyNumberFormat="0" applyBorder="0" applyAlignment="0" applyProtection="0"/>
    <xf numFmtId="172" fontId="28" fillId="0" borderId="0"/>
    <xf numFmtId="0" fontId="24" fillId="0" borderId="11" applyNumberFormat="0" applyFill="0" applyAlignment="0" applyProtection="0"/>
    <xf numFmtId="0" fontId="23" fillId="0" borderId="9" applyNumberFormat="0" applyFill="0" applyAlignment="0" applyProtection="0"/>
    <xf numFmtId="0" fontId="22" fillId="0" borderId="7" applyNumberFormat="0" applyFill="0" applyAlignment="0" applyProtection="0"/>
    <xf numFmtId="0" fontId="16" fillId="24" borderId="4" applyNumberFormat="0" applyAlignment="0" applyProtection="0"/>
    <xf numFmtId="0" fontId="14" fillId="18" borderId="0" applyNumberFormat="0" applyBorder="0" applyAlignment="0" applyProtection="0"/>
    <xf numFmtId="0" fontId="14" fillId="14" borderId="0" applyNumberFormat="0" applyBorder="0" applyAlignment="0" applyProtection="0"/>
    <xf numFmtId="0" fontId="14" fillId="11" borderId="0" applyNumberFormat="0" applyBorder="0" applyAlignment="0" applyProtection="0"/>
    <xf numFmtId="0" fontId="8" fillId="10" borderId="0" applyNumberFormat="0" applyBorder="0" applyAlignment="0" applyProtection="0"/>
    <xf numFmtId="0" fontId="8" fillId="14" borderId="0" applyNumberFormat="0" applyBorder="0" applyAlignment="0" applyProtection="0"/>
    <xf numFmtId="0" fontId="8" fillId="8" borderId="0" applyNumberFormat="0" applyBorder="0" applyAlignment="0" applyProtection="0"/>
    <xf numFmtId="0" fontId="8" fillId="0" borderId="0"/>
    <xf numFmtId="44" fontId="46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4" fillId="17" borderId="0" applyNumberFormat="0" applyBorder="0" applyAlignment="0" applyProtection="0"/>
    <xf numFmtId="0" fontId="8" fillId="11" borderId="0" applyNumberFormat="0" applyBorder="0" applyAlignment="0" applyProtection="0"/>
    <xf numFmtId="0" fontId="8" fillId="0" borderId="0"/>
    <xf numFmtId="0" fontId="2" fillId="0" borderId="0"/>
    <xf numFmtId="0" fontId="1" fillId="0" borderId="0"/>
    <xf numFmtId="0" fontId="28" fillId="10" borderId="15" applyNumberFormat="0" applyFont="0" applyAlignment="0" applyProtection="0"/>
    <xf numFmtId="0" fontId="31" fillId="0" borderId="18" applyNumberFormat="0" applyFill="0" applyAlignment="0" applyProtection="0"/>
    <xf numFmtId="44" fontId="2" fillId="0" borderId="0" applyFont="0" applyFill="0" applyBorder="0" applyAlignment="0" applyProtection="0"/>
    <xf numFmtId="0" fontId="8" fillId="8" borderId="0" applyNumberFormat="0" applyBorder="0" applyAlignment="0" applyProtection="0"/>
    <xf numFmtId="0" fontId="8" fillId="7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1" borderId="0" applyNumberFormat="0" applyBorder="0" applyAlignment="0" applyProtection="0"/>
    <xf numFmtId="0" fontId="8" fillId="10" borderId="0" applyNumberFormat="0" applyBorder="0" applyAlignment="0" applyProtection="0"/>
    <xf numFmtId="0" fontId="14" fillId="15" borderId="0" applyNumberFormat="0" applyBorder="0" applyAlignment="0" applyProtection="0"/>
    <xf numFmtId="0" fontId="14" fillId="11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1" borderId="0" applyNumberFormat="0" applyBorder="0" applyAlignment="0" applyProtection="0"/>
    <xf numFmtId="0" fontId="14" fillId="9" borderId="0" applyNumberFormat="0" applyBorder="0" applyAlignment="0" applyProtection="0"/>
    <xf numFmtId="0" fontId="14" fillId="15" borderId="0" applyNumberFormat="0" applyBorder="0" applyAlignment="0" applyProtection="0"/>
    <xf numFmtId="0" fontId="14" fillId="18" borderId="0" applyNumberFormat="0" applyBorder="0" applyAlignment="0" applyProtection="0"/>
    <xf numFmtId="0" fontId="14" fillId="16" borderId="0" applyNumberFormat="0" applyBorder="0" applyAlignment="0" applyProtection="0"/>
    <xf numFmtId="0" fontId="14" fillId="18" borderId="0" applyNumberFormat="0" applyBorder="0" applyAlignment="0" applyProtection="0"/>
    <xf numFmtId="0" fontId="14" fillId="17" borderId="0" applyNumberFormat="0" applyBorder="0" applyAlignment="0" applyProtection="0"/>
    <xf numFmtId="0" fontId="14" fillId="20" borderId="0" applyNumberFormat="0" applyBorder="0" applyAlignment="0" applyProtection="0"/>
    <xf numFmtId="0" fontId="14" fillId="22" borderId="0" applyNumberFormat="0" applyBorder="0" applyAlignment="0" applyProtection="0"/>
    <xf numFmtId="0" fontId="14" fillId="19" borderId="0" applyNumberFormat="0" applyBorder="0" applyAlignment="0" applyProtection="0"/>
    <xf numFmtId="0" fontId="15" fillId="23" borderId="0" applyNumberFormat="0" applyBorder="0" applyAlignment="0" applyProtection="0"/>
    <xf numFmtId="0" fontId="32" fillId="24" borderId="4" applyNumberFormat="0" applyAlignment="0" applyProtection="0"/>
    <xf numFmtId="0" fontId="16" fillId="24" borderId="4" applyNumberFormat="0" applyAlignment="0" applyProtection="0"/>
    <xf numFmtId="43" fontId="2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3" fontId="6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49" fillId="0" borderId="0" applyFont="0" applyFill="0" applyBorder="0" applyAlignment="0" applyProtection="0"/>
    <xf numFmtId="173" fontId="6" fillId="0" borderId="0" applyFont="0" applyFill="0" applyBorder="0" applyAlignment="0" applyProtection="0"/>
    <xf numFmtId="0" fontId="2" fillId="0" borderId="0"/>
    <xf numFmtId="0" fontId="21" fillId="11" borderId="0" applyNumberFormat="0" applyBorder="0" applyAlignment="0" applyProtection="0"/>
    <xf numFmtId="0" fontId="58" fillId="39" borderId="0" applyNumberFormat="0" applyBorder="0" applyAlignment="0" applyProtection="0"/>
    <xf numFmtId="0" fontId="36" fillId="0" borderId="8" applyNumberFormat="0" applyFill="0" applyAlignment="0" applyProtection="0"/>
    <xf numFmtId="0" fontId="22" fillId="0" borderId="7" applyNumberFormat="0" applyFill="0" applyAlignment="0" applyProtection="0"/>
    <xf numFmtId="0" fontId="37" fillId="0" borderId="10" applyNumberFormat="0" applyFill="0" applyAlignment="0" applyProtection="0"/>
    <xf numFmtId="0" fontId="23" fillId="0" borderId="9" applyNumberFormat="0" applyFill="0" applyAlignment="0" applyProtection="0"/>
    <xf numFmtId="0" fontId="38" fillId="0" borderId="12" applyNumberFormat="0" applyFill="0" applyAlignment="0" applyProtection="0"/>
    <xf numFmtId="0" fontId="24" fillId="0" borderId="11" applyNumberFormat="0" applyFill="0" applyAlignment="0" applyProtection="0"/>
    <xf numFmtId="0" fontId="24" fillId="0" borderId="0" applyNumberFormat="0" applyFill="0" applyBorder="0" applyAlignment="0" applyProtection="0"/>
    <xf numFmtId="0" fontId="25" fillId="13" borderId="4" applyNumberFormat="0" applyAlignment="0" applyProtection="0"/>
    <xf numFmtId="0" fontId="42" fillId="0" borderId="14" applyNumberFormat="0" applyFill="0" applyAlignment="0" applyProtection="0"/>
    <xf numFmtId="0" fontId="26" fillId="0" borderId="13" applyNumberFormat="0" applyFill="0" applyAlignment="0" applyProtection="0"/>
    <xf numFmtId="0" fontId="43" fillId="13" borderId="0" applyNumberFormat="0" applyBorder="0" applyAlignment="0" applyProtection="0"/>
    <xf numFmtId="0" fontId="27" fillId="13" borderId="0" applyNumberFormat="0" applyBorder="0" applyAlignment="0" applyProtection="0"/>
    <xf numFmtId="0" fontId="8" fillId="0" borderId="0"/>
    <xf numFmtId="0" fontId="2" fillId="0" borderId="0">
      <alignment wrapText="1"/>
    </xf>
    <xf numFmtId="0" fontId="2" fillId="0" borderId="0"/>
    <xf numFmtId="0" fontId="2" fillId="0" borderId="0"/>
    <xf numFmtId="0" fontId="8" fillId="0" borderId="0"/>
    <xf numFmtId="0" fontId="2" fillId="0" borderId="0"/>
    <xf numFmtId="0" fontId="2" fillId="0" borderId="0"/>
    <xf numFmtId="0" fontId="68" fillId="0" borderId="0"/>
    <xf numFmtId="0" fontId="2" fillId="0" borderId="0"/>
    <xf numFmtId="0" fontId="1" fillId="0" borderId="0"/>
    <xf numFmtId="0" fontId="68" fillId="0" borderId="0"/>
    <xf numFmtId="0" fontId="67" fillId="0" borderId="0"/>
    <xf numFmtId="0" fontId="2" fillId="0" borderId="0"/>
    <xf numFmtId="0" fontId="1" fillId="0" borderId="0"/>
    <xf numFmtId="0" fontId="67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172" fontId="2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" fillId="0" borderId="0"/>
    <xf numFmtId="0" fontId="8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8" fillId="0" borderId="0"/>
    <xf numFmtId="172" fontId="28" fillId="0" borderId="0"/>
    <xf numFmtId="0" fontId="2" fillId="0" borderId="0"/>
    <xf numFmtId="0" fontId="8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8" fillId="0" borderId="0"/>
    <xf numFmtId="0" fontId="1" fillId="0" borderId="0"/>
    <xf numFmtId="0" fontId="8" fillId="0" borderId="0"/>
    <xf numFmtId="0" fontId="2" fillId="0" borderId="0"/>
    <xf numFmtId="0" fontId="8" fillId="0" borderId="0"/>
    <xf numFmtId="0" fontId="2" fillId="0" borderId="0"/>
    <xf numFmtId="0" fontId="2" fillId="0" borderId="0"/>
    <xf numFmtId="0" fontId="8" fillId="0" borderId="0"/>
    <xf numFmtId="0" fontId="18" fillId="10" borderId="15" applyNumberFormat="0" applyFont="0" applyAlignment="0" applyProtection="0"/>
    <xf numFmtId="0" fontId="28" fillId="10" borderId="15" applyNumberFormat="0" applyFont="0" applyAlignment="0" applyProtection="0"/>
    <xf numFmtId="0" fontId="29" fillId="24" borderId="16" applyNumberFormat="0" applyAlignment="0" applyProtection="0"/>
    <xf numFmtId="9" fontId="1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19" applyNumberFormat="0" applyFill="0" applyAlignment="0" applyProtection="0"/>
    <xf numFmtId="0" fontId="31" fillId="0" borderId="18" applyNumberFormat="0" applyFill="0" applyAlignment="0" applyProtection="0"/>
    <xf numFmtId="0" fontId="2" fillId="0" borderId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8" fillId="0" borderId="0" applyFont="0" applyFill="0" applyBorder="0" applyAlignment="0" applyProtection="0">
      <alignment vertical="top"/>
    </xf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43" fontId="49" fillId="0" borderId="0" applyFont="0" applyFill="0" applyBorder="0" applyAlignment="0" applyProtection="0"/>
  </cellStyleXfs>
  <cellXfs count="222">
    <xf numFmtId="0" fontId="0" fillId="0" borderId="0" xfId="0"/>
    <xf numFmtId="43" fontId="0" fillId="0" borderId="0" xfId="1" applyFont="1"/>
    <xf numFmtId="44" fontId="3" fillId="0" borderId="0" xfId="0" applyNumberFormat="1" applyFont="1"/>
    <xf numFmtId="167" fontId="0" fillId="0" borderId="0" xfId="1" applyNumberFormat="1" applyFont="1"/>
    <xf numFmtId="167" fontId="0" fillId="0" borderId="0" xfId="1" applyNumberFormat="1" applyFont="1" applyBorder="1"/>
    <xf numFmtId="167" fontId="0" fillId="0" borderId="1" xfId="1" applyNumberFormat="1" applyFont="1" applyBorder="1"/>
    <xf numFmtId="166" fontId="0" fillId="0" borderId="1" xfId="1" applyNumberFormat="1" applyFont="1" applyBorder="1"/>
    <xf numFmtId="0" fontId="9" fillId="0" borderId="0" xfId="0" applyFont="1" applyFill="1"/>
    <xf numFmtId="0" fontId="9" fillId="0" borderId="0" xfId="0" applyFont="1" applyFill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43" fontId="0" fillId="0" borderId="0" xfId="0" applyNumberFormat="1" applyFont="1" applyBorder="1" applyAlignment="1">
      <alignment horizontal="center"/>
    </xf>
    <xf numFmtId="0" fontId="0" fillId="5" borderId="0" xfId="0" applyFont="1" applyFill="1" applyAlignment="1">
      <alignment horizontal="center"/>
    </xf>
    <xf numFmtId="0" fontId="0" fillId="0" borderId="0" xfId="0" applyFont="1" applyAlignment="1">
      <alignment horizontal="left"/>
    </xf>
    <xf numFmtId="168" fontId="0" fillId="0" borderId="0" xfId="0" applyNumberFormat="1" applyFont="1"/>
    <xf numFmtId="44" fontId="0" fillId="0" borderId="0" xfId="0" applyNumberFormat="1" applyFont="1"/>
    <xf numFmtId="170" fontId="0" fillId="0" borderId="0" xfId="0" applyNumberFormat="1" applyFont="1"/>
    <xf numFmtId="0" fontId="0" fillId="6" borderId="1" xfId="0" applyFont="1" applyFill="1" applyBorder="1"/>
    <xf numFmtId="0" fontId="0" fillId="0" borderId="0" xfId="0" applyFont="1"/>
    <xf numFmtId="0" fontId="3" fillId="0" borderId="0" xfId="0" applyFont="1"/>
    <xf numFmtId="43" fontId="0" fillId="0" borderId="0" xfId="1" applyFont="1" applyAlignment="1">
      <alignment horizontal="center"/>
    </xf>
    <xf numFmtId="166" fontId="0" fillId="0" borderId="0" xfId="1" applyNumberFormat="1" applyFont="1"/>
    <xf numFmtId="43" fontId="0" fillId="0" borderId="0" xfId="0" applyNumberFormat="1" applyFont="1"/>
    <xf numFmtId="0" fontId="0" fillId="0" borderId="0" xfId="0" applyFont="1" applyAlignment="1">
      <alignment horizontal="left" indent="1"/>
    </xf>
    <xf numFmtId="0" fontId="0" fillId="6" borderId="1" xfId="0" applyFont="1" applyFill="1" applyBorder="1" applyAlignment="1">
      <alignment horizontal="center"/>
    </xf>
    <xf numFmtId="0" fontId="3" fillId="6" borderId="1" xfId="0" applyFont="1" applyFill="1" applyBorder="1"/>
    <xf numFmtId="0" fontId="3" fillId="0" borderId="20" xfId="0" applyFont="1" applyBorder="1"/>
    <xf numFmtId="0" fontId="0" fillId="6" borderId="25" xfId="0" applyFont="1" applyFill="1" applyBorder="1" applyAlignment="1">
      <alignment horizontal="center"/>
    </xf>
    <xf numFmtId="0" fontId="0" fillId="0" borderId="21" xfId="0" applyFont="1" applyBorder="1"/>
    <xf numFmtId="44" fontId="0" fillId="0" borderId="22" xfId="2" applyFont="1" applyBorder="1"/>
    <xf numFmtId="0" fontId="0" fillId="0" borderId="0" xfId="0" applyFont="1" applyAlignment="1"/>
    <xf numFmtId="8" fontId="0" fillId="0" borderId="0" xfId="0" applyNumberFormat="1" applyFont="1"/>
    <xf numFmtId="10" fontId="0" fillId="0" borderId="0" xfId="0" applyNumberFormat="1" applyFont="1"/>
    <xf numFmtId="0" fontId="0" fillId="0" borderId="23" xfId="0" applyFont="1" applyBorder="1"/>
    <xf numFmtId="0" fontId="0" fillId="0" borderId="24" xfId="0" applyFont="1" applyBorder="1"/>
    <xf numFmtId="0" fontId="0" fillId="0" borderId="0" xfId="157" applyFont="1" applyFill="1"/>
    <xf numFmtId="0" fontId="0" fillId="0" borderId="0" xfId="157" applyFont="1"/>
    <xf numFmtId="0" fontId="3" fillId="0" borderId="0" xfId="157" applyFont="1"/>
    <xf numFmtId="0" fontId="59" fillId="0" borderId="0" xfId="386" applyFont="1" applyFill="1"/>
    <xf numFmtId="0" fontId="0" fillId="0" borderId="0" xfId="157" applyFont="1" applyBorder="1"/>
    <xf numFmtId="0" fontId="64" fillId="0" borderId="0" xfId="386" applyFont="1" applyFill="1"/>
    <xf numFmtId="43" fontId="0" fillId="0" borderId="0" xfId="157" applyNumberFormat="1" applyFont="1"/>
    <xf numFmtId="43" fontId="0" fillId="0" borderId="0" xfId="157" applyNumberFormat="1" applyFont="1" applyFill="1"/>
    <xf numFmtId="164" fontId="61" fillId="0" borderId="0" xfId="399" applyNumberFormat="1" applyFont="1" applyBorder="1"/>
    <xf numFmtId="166" fontId="61" fillId="0" borderId="0" xfId="102" applyNumberFormat="1" applyFont="1" applyBorder="1"/>
    <xf numFmtId="43" fontId="59" fillId="0" borderId="0" xfId="399" applyNumberFormat="1" applyFont="1"/>
    <xf numFmtId="164" fontId="59" fillId="0" borderId="0" xfId="399" applyNumberFormat="1" applyFont="1" applyBorder="1"/>
    <xf numFmtId="166" fontId="59" fillId="0" borderId="0" xfId="102" applyNumberFormat="1" applyFont="1" applyBorder="1"/>
    <xf numFmtId="164" fontId="59" fillId="0" borderId="0" xfId="9" applyNumberFormat="1" applyFont="1" applyBorder="1"/>
    <xf numFmtId="43" fontId="59" fillId="0" borderId="0" xfId="102" applyFont="1" applyBorder="1"/>
    <xf numFmtId="43" fontId="59" fillId="0" borderId="0" xfId="102" applyFont="1"/>
    <xf numFmtId="0" fontId="61" fillId="0" borderId="0" xfId="399" applyFont="1" applyBorder="1" applyAlignment="1">
      <alignment horizontal="center"/>
    </xf>
    <xf numFmtId="0" fontId="59" fillId="0" borderId="0" xfId="399" applyFont="1" applyBorder="1"/>
    <xf numFmtId="0" fontId="59" fillId="0" borderId="0" xfId="399" applyFont="1"/>
    <xf numFmtId="0" fontId="0" fillId="0" borderId="0" xfId="0" applyFont="1" applyBorder="1"/>
    <xf numFmtId="0" fontId="3" fillId="0" borderId="0" xfId="0" applyFont="1" applyBorder="1"/>
    <xf numFmtId="4" fontId="0" fillId="0" borderId="0" xfId="0" applyNumberFormat="1" applyFont="1" applyBorder="1"/>
    <xf numFmtId="0" fontId="63" fillId="2" borderId="0" xfId="399" applyFont="1" applyFill="1" applyBorder="1" applyAlignment="1"/>
    <xf numFmtId="0" fontId="63" fillId="2" borderId="21" xfId="399" applyFont="1" applyFill="1" applyBorder="1" applyAlignment="1"/>
    <xf numFmtId="3" fontId="59" fillId="2" borderId="24" xfId="399" applyNumberFormat="1" applyFont="1" applyFill="1" applyBorder="1"/>
    <xf numFmtId="0" fontId="59" fillId="2" borderId="2" xfId="399" applyFont="1" applyFill="1" applyBorder="1"/>
    <xf numFmtId="3" fontId="59" fillId="2" borderId="2" xfId="399" applyNumberFormat="1" applyFont="1" applyFill="1" applyBorder="1"/>
    <xf numFmtId="0" fontId="59" fillId="2" borderId="22" xfId="399" applyFont="1" applyFill="1" applyBorder="1"/>
    <xf numFmtId="0" fontId="59" fillId="2" borderId="0" xfId="399" applyFont="1" applyFill="1" applyBorder="1"/>
    <xf numFmtId="3" fontId="59" fillId="2" borderId="0" xfId="399" applyNumberFormat="1" applyFont="1" applyFill="1" applyBorder="1"/>
    <xf numFmtId="3" fontId="61" fillId="2" borderId="1" xfId="399" applyNumberFormat="1" applyFont="1" applyFill="1" applyBorder="1" applyAlignment="1">
      <alignment horizontal="center" wrapText="1"/>
    </xf>
    <xf numFmtId="0" fontId="63" fillId="2" borderId="34" xfId="399" applyFont="1" applyFill="1" applyBorder="1" applyAlignment="1"/>
    <xf numFmtId="0" fontId="63" fillId="2" borderId="20" xfId="399" applyFont="1" applyFill="1" applyBorder="1" applyAlignment="1"/>
    <xf numFmtId="0" fontId="66" fillId="2" borderId="0" xfId="399" applyFont="1" applyFill="1"/>
    <xf numFmtId="164" fontId="66" fillId="2" borderId="0" xfId="399" applyNumberFormat="1" applyFont="1" applyFill="1"/>
    <xf numFmtId="164" fontId="59" fillId="2" borderId="3" xfId="399" applyNumberFormat="1" applyFont="1" applyFill="1" applyBorder="1"/>
    <xf numFmtId="3" fontId="59" fillId="2" borderId="0" xfId="399" applyNumberFormat="1" applyFont="1" applyFill="1"/>
    <xf numFmtId="164" fontId="59" fillId="2" borderId="0" xfId="399" applyNumberFormat="1" applyFont="1" applyFill="1"/>
    <xf numFmtId="0" fontId="59" fillId="2" borderId="0" xfId="399" applyFont="1" applyFill="1" applyAlignment="1">
      <alignment horizontal="center"/>
    </xf>
    <xf numFmtId="0" fontId="61" fillId="2" borderId="0" xfId="399" applyFont="1" applyFill="1" applyAlignment="1">
      <alignment horizontal="right"/>
    </xf>
    <xf numFmtId="166" fontId="61" fillId="2" borderId="3" xfId="102" applyNumberFormat="1" applyFont="1" applyFill="1" applyBorder="1"/>
    <xf numFmtId="164" fontId="61" fillId="2" borderId="3" xfId="399" applyNumberFormat="1" applyFont="1" applyFill="1" applyBorder="1"/>
    <xf numFmtId="43" fontId="1" fillId="2" borderId="0" xfId="102" applyFont="1" applyFill="1" applyAlignment="1">
      <alignment horizontal="center"/>
    </xf>
    <xf numFmtId="166" fontId="1" fillId="2" borderId="0" xfId="102" applyNumberFormat="1" applyFont="1" applyFill="1"/>
    <xf numFmtId="164" fontId="59" fillId="2" borderId="0" xfId="9" applyNumberFormat="1" applyFont="1" applyFill="1"/>
    <xf numFmtId="17" fontId="59" fillId="2" borderId="0" xfId="399" applyNumberFormat="1" applyFont="1" applyFill="1"/>
    <xf numFmtId="0" fontId="65" fillId="2" borderId="0" xfId="399" applyFont="1" applyFill="1"/>
    <xf numFmtId="9" fontId="59" fillId="2" borderId="0" xfId="23" applyFont="1" applyFill="1" applyBorder="1"/>
    <xf numFmtId="0" fontId="61" fillId="2" borderId="21" xfId="399" applyFont="1" applyFill="1" applyBorder="1" applyAlignment="1">
      <alignment horizontal="right"/>
    </xf>
    <xf numFmtId="3" fontId="59" fillId="2" borderId="22" xfId="399" applyNumberFormat="1" applyFont="1" applyFill="1" applyBorder="1"/>
    <xf numFmtId="0" fontId="59" fillId="2" borderId="21" xfId="399" applyFont="1" applyFill="1" applyBorder="1"/>
    <xf numFmtId="0" fontId="63" fillId="2" borderId="35" xfId="399" applyFont="1" applyFill="1" applyBorder="1" applyAlignment="1"/>
    <xf numFmtId="0" fontId="61" fillId="2" borderId="0" xfId="399" applyFont="1" applyFill="1"/>
    <xf numFmtId="0" fontId="59" fillId="2" borderId="0" xfId="399" applyFont="1" applyFill="1"/>
    <xf numFmtId="0" fontId="63" fillId="2" borderId="22" xfId="399" applyFont="1" applyFill="1" applyBorder="1" applyAlignment="1"/>
    <xf numFmtId="0" fontId="61" fillId="2" borderId="1" xfId="399" applyFont="1" applyFill="1" applyBorder="1" applyAlignment="1">
      <alignment horizontal="center"/>
    </xf>
    <xf numFmtId="0" fontId="69" fillId="2" borderId="23" xfId="0" applyFont="1" applyFill="1" applyBorder="1"/>
    <xf numFmtId="0" fontId="3" fillId="2" borderId="0" xfId="0" applyFont="1" applyFill="1" applyBorder="1"/>
    <xf numFmtId="166" fontId="59" fillId="2" borderId="0" xfId="102" applyNumberFormat="1" applyFont="1" applyFill="1"/>
    <xf numFmtId="43" fontId="59" fillId="2" borderId="0" xfId="102" applyFont="1" applyFill="1"/>
    <xf numFmtId="0" fontId="60" fillId="0" borderId="0" xfId="0" applyFont="1" applyFill="1" applyBorder="1" applyAlignment="1"/>
    <xf numFmtId="0" fontId="3" fillId="2" borderId="0" xfId="0" applyFont="1" applyFill="1" applyBorder="1"/>
    <xf numFmtId="166" fontId="0" fillId="0" borderId="0" xfId="1" applyNumberFormat="1" applyFont="1" applyBorder="1" applyAlignment="1">
      <alignment horizontal="right"/>
    </xf>
    <xf numFmtId="43" fontId="0" fillId="32" borderId="0" xfId="1" applyFont="1" applyFill="1" applyBorder="1"/>
    <xf numFmtId="174" fontId="3" fillId="6" borderId="1" xfId="1" applyNumberFormat="1" applyFont="1" applyFill="1" applyBorder="1"/>
    <xf numFmtId="0" fontId="0" fillId="0" borderId="0" xfId="0" applyFont="1"/>
    <xf numFmtId="166" fontId="0" fillId="0" borderId="0" xfId="1" applyNumberFormat="1" applyFont="1"/>
    <xf numFmtId="166" fontId="3" fillId="6" borderId="1" xfId="1" applyNumberFormat="1" applyFont="1" applyFill="1" applyBorder="1"/>
    <xf numFmtId="43" fontId="0" fillId="0" borderId="0" xfId="1" applyFont="1" applyFill="1"/>
    <xf numFmtId="174" fontId="0" fillId="0" borderId="3" xfId="1" applyNumberFormat="1" applyFont="1" applyBorder="1"/>
    <xf numFmtId="174" fontId="0" fillId="0" borderId="0" xfId="1" applyNumberFormat="1" applyFont="1" applyBorder="1"/>
    <xf numFmtId="43" fontId="0" fillId="6" borderId="1" xfId="1" applyFont="1" applyFill="1" applyBorder="1"/>
    <xf numFmtId="166" fontId="0" fillId="0" borderId="0" xfId="1" applyNumberFormat="1" applyFont="1" applyBorder="1"/>
    <xf numFmtId="166" fontId="0" fillId="32" borderId="0" xfId="1" applyNumberFormat="1" applyFont="1" applyFill="1" applyBorder="1"/>
    <xf numFmtId="174" fontId="0" fillId="6" borderId="1" xfId="1" applyNumberFormat="1" applyFont="1" applyFill="1" applyBorder="1"/>
    <xf numFmtId="0" fontId="0" fillId="0" borderId="0" xfId="0" applyFont="1" applyBorder="1"/>
    <xf numFmtId="0" fontId="0" fillId="32" borderId="0" xfId="0" applyFont="1" applyFill="1" applyBorder="1" applyAlignment="1">
      <alignment horizontal="center"/>
    </xf>
    <xf numFmtId="0" fontId="0" fillId="0" borderId="0" xfId="0"/>
    <xf numFmtId="43" fontId="0" fillId="0" borderId="0" xfId="1" applyFont="1"/>
    <xf numFmtId="174" fontId="0" fillId="2" borderId="0" xfId="1" applyNumberFormat="1" applyFont="1" applyFill="1"/>
    <xf numFmtId="174" fontId="0" fillId="0" borderId="0" xfId="1" applyNumberFormat="1" applyFont="1"/>
    <xf numFmtId="43" fontId="0" fillId="0" borderId="0" xfId="1" applyFont="1" applyBorder="1"/>
    <xf numFmtId="0" fontId="3" fillId="32" borderId="0" xfId="0" applyFont="1" applyFill="1" applyBorder="1"/>
    <xf numFmtId="10" fontId="0" fillId="0" borderId="0" xfId="3" applyNumberFormat="1" applyFont="1" applyFill="1" applyBorder="1" applyAlignment="1">
      <alignment horizontal="right"/>
    </xf>
    <xf numFmtId="174" fontId="0" fillId="0" borderId="0" xfId="1" applyNumberFormat="1" applyFont="1" applyFill="1" applyBorder="1"/>
    <xf numFmtId="43" fontId="0" fillId="0" borderId="3" xfId="1" applyFont="1" applyFill="1" applyBorder="1"/>
    <xf numFmtId="174" fontId="3" fillId="0" borderId="0" xfId="1" applyNumberFormat="1" applyFont="1"/>
    <xf numFmtId="43" fontId="0" fillId="0" borderId="0" xfId="1" applyFont="1" applyFill="1" applyBorder="1"/>
    <xf numFmtId="166" fontId="3" fillId="0" borderId="1" xfId="1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166" fontId="0" fillId="0" borderId="0" xfId="1" applyNumberFormat="1" applyFont="1" applyFill="1" applyBorder="1"/>
    <xf numFmtId="0" fontId="0" fillId="32" borderId="0" xfId="0" applyFont="1" applyFill="1" applyBorder="1"/>
    <xf numFmtId="0" fontId="0" fillId="0" borderId="0" xfId="0" applyFont="1" applyBorder="1" applyAlignment="1">
      <alignment horizontal="left"/>
    </xf>
    <xf numFmtId="166" fontId="0" fillId="0" borderId="0" xfId="1" applyNumberFormat="1" applyFont="1" applyFill="1" applyBorder="1" applyAlignment="1">
      <alignment horizontal="right"/>
    </xf>
    <xf numFmtId="0" fontId="69" fillId="0" borderId="0" xfId="157" applyFont="1"/>
    <xf numFmtId="0" fontId="0" fillId="0" borderId="0" xfId="0" applyFont="1"/>
    <xf numFmtId="0" fontId="3" fillId="0" borderId="0" xfId="0" applyFont="1"/>
    <xf numFmtId="0" fontId="3" fillId="0" borderId="0" xfId="0" applyFont="1" applyFill="1" applyBorder="1"/>
    <xf numFmtId="0" fontId="0" fillId="0" borderId="0" xfId="0" applyFont="1" applyFill="1" applyBorder="1"/>
    <xf numFmtId="0" fontId="0" fillId="0" borderId="0" xfId="0" applyFont="1" applyFill="1" applyBorder="1" applyAlignment="1">
      <alignment horizontal="center"/>
    </xf>
    <xf numFmtId="0" fontId="11" fillId="0" borderId="0" xfId="275" applyFont="1" applyBorder="1"/>
    <xf numFmtId="166" fontId="0" fillId="0" borderId="3" xfId="1" applyNumberFormat="1" applyFont="1" applyBorder="1"/>
    <xf numFmtId="166" fontId="0" fillId="0" borderId="3" xfId="1" applyNumberFormat="1" applyFont="1" applyFill="1" applyBorder="1"/>
    <xf numFmtId="0" fontId="11" fillId="0" borderId="0" xfId="269" applyFont="1" applyBorder="1"/>
    <xf numFmtId="0" fontId="0" fillId="0" borderId="0" xfId="0" applyFont="1" applyAlignment="1">
      <alignment horizontal="center"/>
    </xf>
    <xf numFmtId="0" fontId="12" fillId="6" borderId="1" xfId="0" applyFont="1" applyFill="1" applyBorder="1" applyAlignment="1"/>
    <xf numFmtId="3" fontId="0" fillId="6" borderId="1" xfId="0" applyNumberFormat="1" applyFont="1" applyFill="1" applyBorder="1" applyAlignment="1">
      <alignment horizontal="center"/>
    </xf>
    <xf numFmtId="0" fontId="61" fillId="0" borderId="0" xfId="0" applyFont="1" applyFill="1" applyAlignment="1">
      <alignment horizontal="left"/>
    </xf>
    <xf numFmtId="0" fontId="0" fillId="6" borderId="1" xfId="0" applyFont="1" applyFill="1" applyBorder="1"/>
    <xf numFmtId="43" fontId="0" fillId="5" borderId="0" xfId="1" applyFont="1" applyFill="1"/>
    <xf numFmtId="166" fontId="0" fillId="6" borderId="1" xfId="1" applyNumberFormat="1" applyFont="1" applyFill="1" applyBorder="1"/>
    <xf numFmtId="166" fontId="0" fillId="0" borderId="0" xfId="1" applyNumberFormat="1" applyFont="1" applyFill="1"/>
    <xf numFmtId="166" fontId="3" fillId="0" borderId="0" xfId="1" applyNumberFormat="1" applyFont="1"/>
    <xf numFmtId="166" fontId="0" fillId="32" borderId="0" xfId="1" applyNumberFormat="1" applyFont="1" applyFill="1" applyBorder="1" applyAlignment="1">
      <alignment horizontal="right"/>
    </xf>
    <xf numFmtId="166" fontId="0" fillId="0" borderId="3" xfId="1" applyNumberFormat="1" applyFont="1" applyBorder="1" applyAlignment="1">
      <alignment horizontal="right"/>
    </xf>
    <xf numFmtId="166" fontId="0" fillId="0" borderId="0" xfId="1" applyNumberFormat="1" applyFont="1" applyFill="1" applyBorder="1" applyAlignment="1"/>
    <xf numFmtId="43" fontId="0" fillId="0" borderId="0" xfId="1" applyNumberFormat="1" applyFont="1"/>
    <xf numFmtId="174" fontId="0" fillId="32" borderId="0" xfId="1" applyNumberFormat="1" applyFont="1" applyFill="1" applyBorder="1"/>
    <xf numFmtId="3" fontId="0" fillId="0" borderId="0" xfId="0" applyNumberFormat="1" applyFont="1" applyFill="1" applyAlignment="1">
      <alignment horizontal="center"/>
    </xf>
    <xf numFmtId="0" fontId="0" fillId="0" borderId="3" xfId="0" applyFont="1" applyFill="1" applyBorder="1" applyAlignment="1">
      <alignment horizontal="center"/>
    </xf>
    <xf numFmtId="43" fontId="0" fillId="0" borderId="0" xfId="1" applyFont="1"/>
    <xf numFmtId="43" fontId="3" fillId="6" borderId="0" xfId="1" applyFont="1" applyFill="1" applyBorder="1" applyAlignment="1">
      <alignment horizontal="center" wrapText="1"/>
    </xf>
    <xf numFmtId="43" fontId="0" fillId="0" borderId="0" xfId="1" applyFont="1" applyFill="1" applyBorder="1" applyAlignment="1"/>
    <xf numFmtId="0" fontId="3" fillId="6" borderId="1" xfId="0" applyFont="1" applyFill="1" applyBorder="1" applyAlignment="1">
      <alignment horizontal="center" wrapText="1"/>
    </xf>
    <xf numFmtId="0" fontId="3" fillId="0" borderId="0" xfId="0" applyFont="1" applyBorder="1"/>
    <xf numFmtId="0" fontId="3" fillId="0" borderId="0" xfId="0" applyFont="1" applyFill="1" applyBorder="1"/>
    <xf numFmtId="0" fontId="0" fillId="0" borderId="0" xfId="0" applyFont="1" applyFill="1" applyBorder="1" applyAlignment="1">
      <alignment horizontal="center" vertical="center" textRotation="90"/>
    </xf>
    <xf numFmtId="174" fontId="0" fillId="0" borderId="0" xfId="1" applyNumberFormat="1" applyFont="1" applyFill="1"/>
    <xf numFmtId="166" fontId="59" fillId="0" borderId="0" xfId="386" applyNumberFormat="1" applyFont="1" applyFill="1"/>
    <xf numFmtId="43" fontId="59" fillId="0" borderId="0" xfId="1" applyFont="1" applyFill="1"/>
    <xf numFmtId="0" fontId="0" fillId="2" borderId="0" xfId="157" applyFont="1" applyFill="1"/>
    <xf numFmtId="0" fontId="3" fillId="2" borderId="0" xfId="157" applyFont="1" applyFill="1"/>
    <xf numFmtId="0" fontId="59" fillId="2" borderId="0" xfId="386" applyFont="1" applyFill="1"/>
    <xf numFmtId="0" fontId="59" fillId="2" borderId="0" xfId="386" applyFont="1" applyFill="1" applyAlignment="1">
      <alignment horizontal="center"/>
    </xf>
    <xf numFmtId="0" fontId="60" fillId="2" borderId="0" xfId="386" applyFont="1" applyFill="1"/>
    <xf numFmtId="0" fontId="61" fillId="2" borderId="0" xfId="386" applyFont="1" applyFill="1"/>
    <xf numFmtId="2" fontId="59" fillId="2" borderId="0" xfId="386" applyNumberFormat="1" applyFont="1" applyFill="1"/>
    <xf numFmtId="0" fontId="3" fillId="2" borderId="0" xfId="157" applyFont="1" applyFill="1" applyAlignment="1">
      <alignment horizontal="center"/>
    </xf>
    <xf numFmtId="0" fontId="61" fillId="2" borderId="0" xfId="386" applyFont="1" applyFill="1" applyAlignment="1">
      <alignment horizontal="center" wrapText="1"/>
    </xf>
    <xf numFmtId="0" fontId="61" fillId="2" borderId="0" xfId="386" applyFont="1" applyFill="1" applyAlignment="1">
      <alignment horizontal="center"/>
    </xf>
    <xf numFmtId="17" fontId="61" fillId="2" borderId="0" xfId="386" applyNumberFormat="1" applyFont="1" applyFill="1" applyAlignment="1">
      <alignment horizontal="center"/>
    </xf>
    <xf numFmtId="14" fontId="61" fillId="2" borderId="0" xfId="386" applyNumberFormat="1" applyFont="1" applyFill="1" applyAlignment="1">
      <alignment horizontal="center" wrapText="1"/>
    </xf>
    <xf numFmtId="0" fontId="62" fillId="2" borderId="0" xfId="386" applyFont="1" applyFill="1" applyAlignment="1">
      <alignment horizontal="center"/>
    </xf>
    <xf numFmtId="43" fontId="59" fillId="2" borderId="0" xfId="386" applyNumberFormat="1" applyFont="1" applyFill="1"/>
    <xf numFmtId="0" fontId="63" fillId="2" borderId="0" xfId="386" applyFont="1" applyFill="1" applyAlignment="1">
      <alignment horizontal="left"/>
    </xf>
    <xf numFmtId="0" fontId="61" fillId="2" borderId="0" xfId="386" applyFont="1" applyFill="1" applyAlignment="1">
      <alignment horizontal="left"/>
    </xf>
    <xf numFmtId="43" fontId="59" fillId="2" borderId="0" xfId="274" applyFont="1" applyFill="1" applyAlignment="1">
      <alignment horizontal="center"/>
    </xf>
    <xf numFmtId="166" fontId="59" fillId="2" borderId="0" xfId="274" applyNumberFormat="1" applyFont="1" applyFill="1"/>
    <xf numFmtId="0" fontId="0" fillId="2" borderId="0" xfId="157" applyFont="1" applyFill="1" applyBorder="1"/>
    <xf numFmtId="166" fontId="0" fillId="2" borderId="0" xfId="157" applyNumberFormat="1" applyFont="1" applyFill="1"/>
    <xf numFmtId="166" fontId="59" fillId="2" borderId="0" xfId="386" applyNumberFormat="1" applyFont="1" applyFill="1"/>
    <xf numFmtId="0" fontId="11" fillId="2" borderId="0" xfId="157" applyFont="1" applyFill="1"/>
    <xf numFmtId="0" fontId="59" fillId="2" borderId="0" xfId="386" applyFont="1" applyFill="1" applyBorder="1"/>
    <xf numFmtId="0" fontId="61" fillId="2" borderId="0" xfId="386" applyFont="1" applyFill="1" applyBorder="1" applyAlignment="1">
      <alignment horizontal="right"/>
    </xf>
    <xf numFmtId="44" fontId="12" fillId="2" borderId="33" xfId="10" applyFont="1" applyFill="1" applyBorder="1"/>
    <xf numFmtId="0" fontId="63" fillId="2" borderId="0" xfId="386" applyFont="1" applyFill="1" applyAlignment="1">
      <alignment horizontal="center"/>
    </xf>
    <xf numFmtId="43" fontId="59" fillId="2" borderId="0" xfId="274" applyFont="1" applyFill="1"/>
    <xf numFmtId="43" fontId="64" fillId="2" borderId="0" xfId="274" applyFont="1" applyFill="1" applyAlignment="1">
      <alignment horizontal="center"/>
    </xf>
    <xf numFmtId="0" fontId="64" fillId="2" borderId="0" xfId="386" applyFont="1" applyFill="1"/>
    <xf numFmtId="0" fontId="59" fillId="2" borderId="0" xfId="157" applyFont="1" applyFill="1" applyAlignment="1">
      <alignment vertical="top"/>
    </xf>
    <xf numFmtId="0" fontId="61" fillId="2" borderId="0" xfId="386" applyFont="1" applyFill="1" applyAlignment="1">
      <alignment horizontal="right"/>
    </xf>
    <xf numFmtId="44" fontId="61" fillId="2" borderId="33" xfId="10" applyFont="1" applyFill="1" applyBorder="1"/>
    <xf numFmtId="0" fontId="0" fillId="0" borderId="3" xfId="157" applyFont="1" applyBorder="1"/>
    <xf numFmtId="44" fontId="0" fillId="0" borderId="0" xfId="2" applyFont="1" applyFill="1" applyBorder="1"/>
    <xf numFmtId="165" fontId="0" fillId="0" borderId="0" xfId="2" applyNumberFormat="1" applyFont="1" applyFill="1"/>
    <xf numFmtId="165" fontId="0" fillId="0" borderId="0" xfId="2" applyNumberFormat="1" applyFont="1" applyFill="1" applyBorder="1"/>
    <xf numFmtId="44" fontId="0" fillId="0" borderId="3" xfId="2" applyFont="1" applyFill="1" applyBorder="1"/>
    <xf numFmtId="169" fontId="0" fillId="0" borderId="3" xfId="2" applyNumberFormat="1" applyFont="1" applyFill="1" applyBorder="1"/>
    <xf numFmtId="0" fontId="0" fillId="5" borderId="0" xfId="157" applyFont="1" applyFill="1"/>
    <xf numFmtId="0" fontId="0" fillId="0" borderId="0" xfId="0" applyFont="1" applyFill="1"/>
    <xf numFmtId="43" fontId="0" fillId="5" borderId="0" xfId="1" applyFont="1" applyFill="1"/>
    <xf numFmtId="166" fontId="0" fillId="0" borderId="0" xfId="1" applyNumberFormat="1" applyFont="1" applyFill="1"/>
    <xf numFmtId="0" fontId="0" fillId="5" borderId="0" xfId="0" applyFill="1"/>
    <xf numFmtId="0" fontId="3" fillId="2" borderId="0" xfId="0" applyFont="1" applyFill="1" applyBorder="1"/>
    <xf numFmtId="174" fontId="0" fillId="0" borderId="0" xfId="0" applyNumberFormat="1" applyFont="1"/>
    <xf numFmtId="10" fontId="0" fillId="0" borderId="0" xfId="3" applyNumberFormat="1" applyFont="1" applyAlignment="1">
      <alignment horizontal="left"/>
    </xf>
    <xf numFmtId="174" fontId="0" fillId="0" borderId="0" xfId="1" applyNumberFormat="1" applyFont="1" applyAlignment="1">
      <alignment horizontal="left"/>
    </xf>
    <xf numFmtId="0" fontId="0" fillId="6" borderId="0" xfId="0" applyFont="1" applyFill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60" fillId="0" borderId="0" xfId="0" applyFont="1" applyAlignment="1">
      <alignment horizontal="left" wrapText="1"/>
    </xf>
    <xf numFmtId="0" fontId="0" fillId="0" borderId="3" xfId="0" applyFont="1" applyFill="1" applyBorder="1" applyAlignment="1">
      <alignment horizontal="center" vertical="center" textRotation="90" wrapText="1"/>
    </xf>
    <xf numFmtId="0" fontId="0" fillId="0" borderId="0" xfId="0" applyFont="1" applyFill="1" applyBorder="1" applyAlignment="1">
      <alignment horizontal="center" vertical="center" textRotation="90" wrapText="1"/>
    </xf>
    <xf numFmtId="0" fontId="0" fillId="0" borderId="0" xfId="0" applyFont="1" applyFill="1" applyBorder="1" applyAlignment="1">
      <alignment horizontal="center" vertical="center" textRotation="90"/>
    </xf>
    <xf numFmtId="0" fontId="0" fillId="6" borderId="0" xfId="0" applyFont="1" applyFill="1" applyBorder="1" applyAlignment="1">
      <alignment horizontal="center"/>
    </xf>
    <xf numFmtId="0" fontId="63" fillId="2" borderId="0" xfId="399" applyFont="1" applyFill="1" applyAlignment="1">
      <alignment horizontal="center"/>
    </xf>
    <xf numFmtId="0" fontId="61" fillId="2" borderId="0" xfId="399" applyFont="1" applyFill="1" applyAlignment="1">
      <alignment horizontal="center"/>
    </xf>
    <xf numFmtId="0" fontId="60" fillId="2" borderId="0" xfId="0" applyFont="1" applyFill="1" applyBorder="1" applyAlignment="1">
      <alignment horizontal="left" wrapText="1"/>
    </xf>
  </cellXfs>
  <cellStyles count="575">
    <cellStyle name="20% - Accent1 2" xfId="39"/>
    <cellStyle name="20% - Accent1 2 2" xfId="296"/>
    <cellStyle name="20% - Accent1 2 3" xfId="413"/>
    <cellStyle name="20% - Accent1 3" xfId="38"/>
    <cellStyle name="20% - Accent1 3 2" xfId="297"/>
    <cellStyle name="20% - Accent1 3 3" xfId="414"/>
    <cellStyle name="20% - Accent1 4" xfId="387"/>
    <cellStyle name="20% - Accent2 2" xfId="41"/>
    <cellStyle name="20% - Accent2 3" xfId="40"/>
    <cellStyle name="20% - Accent2 3 2" xfId="415"/>
    <cellStyle name="20% - Accent3 2" xfId="43"/>
    <cellStyle name="20% - Accent3 3" xfId="42"/>
    <cellStyle name="20% - Accent3 3 2" xfId="416"/>
    <cellStyle name="20% - Accent4 2" xfId="45"/>
    <cellStyle name="20% - Accent4 2 2" xfId="298"/>
    <cellStyle name="20% - Accent4 2 3" xfId="417"/>
    <cellStyle name="20% - Accent4 3" xfId="44"/>
    <cellStyle name="20% - Accent4 3 2" xfId="299"/>
    <cellStyle name="20% - Accent4 3 3" xfId="418"/>
    <cellStyle name="20% - Accent4 4" xfId="398"/>
    <cellStyle name="20% - Accent5 2" xfId="47"/>
    <cellStyle name="20% - Accent5 3" xfId="46"/>
    <cellStyle name="20% - Accent6 2" xfId="49"/>
    <cellStyle name="20% - Accent6 3" xfId="48"/>
    <cellStyle name="20% - Accent6 3 2" xfId="419"/>
    <cellStyle name="40% - Accent1 2" xfId="51"/>
    <cellStyle name="40% - Accent1 3" xfId="50"/>
    <cellStyle name="40% - Accent1 3 2" xfId="300"/>
    <cellStyle name="40% - Accent1 3 3" xfId="420"/>
    <cellStyle name="40% - Accent1 4" xfId="406"/>
    <cellStyle name="40% - Accent2 2" xfId="53"/>
    <cellStyle name="40% - Accent2 3" xfId="52"/>
    <cellStyle name="40% - Accent3 2" xfId="55"/>
    <cellStyle name="40% - Accent3 3" xfId="54"/>
    <cellStyle name="40% - Accent3 3 2" xfId="421"/>
    <cellStyle name="40% - Accent4 2" xfId="57"/>
    <cellStyle name="40% - Accent4 3" xfId="56"/>
    <cellStyle name="40% - Accent4 3 2" xfId="301"/>
    <cellStyle name="40% - Accent4 3 3" xfId="422"/>
    <cellStyle name="40% - Accent4 4" xfId="397"/>
    <cellStyle name="40% - Accent5 2" xfId="59"/>
    <cellStyle name="40% - Accent5 3" xfId="58"/>
    <cellStyle name="40% - Accent5 3 2" xfId="423"/>
    <cellStyle name="40% - Accent6 2" xfId="61"/>
    <cellStyle name="40% - Accent6 3" xfId="60"/>
    <cellStyle name="40% - Accent6 3 2" xfId="302"/>
    <cellStyle name="40% - Accent6 3 3" xfId="424"/>
    <cellStyle name="40% - Accent6 4" xfId="396"/>
    <cellStyle name="60% - Accent1 2" xfId="63"/>
    <cellStyle name="60% - Accent1 2 2" xfId="303"/>
    <cellStyle name="60% - Accent1 2 3" xfId="425"/>
    <cellStyle name="60% - Accent1 3" xfId="62"/>
    <cellStyle name="60% - Accent1 3 2" xfId="304"/>
    <cellStyle name="60% - Accent1 3 3" xfId="426"/>
    <cellStyle name="60% - Accent1 4" xfId="395"/>
    <cellStyle name="60% - Accent2 2" xfId="65"/>
    <cellStyle name="60% - Accent2 3" xfId="64"/>
    <cellStyle name="60% - Accent2 3 2" xfId="427"/>
    <cellStyle name="60% - Accent3 2" xfId="67"/>
    <cellStyle name="60% - Accent3 3" xfId="66"/>
    <cellStyle name="60% - Accent3 3 2" xfId="305"/>
    <cellStyle name="60% - Accent3 3 3" xfId="428"/>
    <cellStyle name="60% - Accent3 4" xfId="405"/>
    <cellStyle name="60% - Accent4 2" xfId="69"/>
    <cellStyle name="60% - Accent4 3" xfId="68"/>
    <cellStyle name="60% - Accent4 3 2" xfId="306"/>
    <cellStyle name="60% - Accent4 3 3" xfId="429"/>
    <cellStyle name="60% - Accent4 4" xfId="394"/>
    <cellStyle name="60% - Accent5 2" xfId="71"/>
    <cellStyle name="60% - Accent5 2 2" xfId="307"/>
    <cellStyle name="60% - Accent5 2 3" xfId="430"/>
    <cellStyle name="60% - Accent5 3" xfId="70"/>
    <cellStyle name="60% - Accent5 3 2" xfId="431"/>
    <cellStyle name="60% - Accent6 2" xfId="73"/>
    <cellStyle name="60% - Accent6 3" xfId="72"/>
    <cellStyle name="60% - Accent6 3 2" xfId="432"/>
    <cellStyle name="Accent1 2" xfId="75"/>
    <cellStyle name="Accent1 2 2" xfId="308"/>
    <cellStyle name="Accent1 2 3" xfId="433"/>
    <cellStyle name="Accent1 3" xfId="74"/>
    <cellStyle name="Accent1 3 2" xfId="309"/>
    <cellStyle name="Accent1 3 3" xfId="434"/>
    <cellStyle name="Accent1 4" xfId="393"/>
    <cellStyle name="Accent2 2" xfId="77"/>
    <cellStyle name="Accent2 3" xfId="76"/>
    <cellStyle name="Accent2 3 2" xfId="435"/>
    <cellStyle name="Accent3 2" xfId="79"/>
    <cellStyle name="Accent3 2 2" xfId="310"/>
    <cellStyle name="Accent3 2 3" xfId="436"/>
    <cellStyle name="Accent3 3" xfId="78"/>
    <cellStyle name="Accent3 3 2" xfId="437"/>
    <cellStyle name="Accent4 2" xfId="81"/>
    <cellStyle name="Accent4 3" xfId="80"/>
    <cellStyle name="Accent4 3 2" xfId="438"/>
    <cellStyle name="Accent5 2" xfId="83"/>
    <cellStyle name="Accent5 3" xfId="82"/>
    <cellStyle name="Accent6 2" xfId="85"/>
    <cellStyle name="Accent6 2 2" xfId="311"/>
    <cellStyle name="Accent6 2 3" xfId="439"/>
    <cellStyle name="Accent6 3" xfId="84"/>
    <cellStyle name="Accent6 3 2" xfId="440"/>
    <cellStyle name="Accounting" xfId="86"/>
    <cellStyle name="Accounting 2" xfId="87"/>
    <cellStyle name="Accounting 3" xfId="88"/>
    <cellStyle name="Accounting_2011-11" xfId="89"/>
    <cellStyle name="Bad 2" xfId="91"/>
    <cellStyle name="Bad 3" xfId="90"/>
    <cellStyle name="Bad 3 2" xfId="441"/>
    <cellStyle name="Budget" xfId="92"/>
    <cellStyle name="Budget 2" xfId="93"/>
    <cellStyle name="Budget 3" xfId="94"/>
    <cellStyle name="Budget_2011-11" xfId="95"/>
    <cellStyle name="Calculation 2" xfId="97"/>
    <cellStyle name="Calculation 2 2" xfId="312"/>
    <cellStyle name="Calculation 2 3" xfId="442"/>
    <cellStyle name="Calculation 3" xfId="96"/>
    <cellStyle name="Calculation 3 2" xfId="313"/>
    <cellStyle name="Calculation 3 3" xfId="443"/>
    <cellStyle name="Calculation 4" xfId="392"/>
    <cellStyle name="Check Cell 2" xfId="99"/>
    <cellStyle name="Check Cell 3" xfId="98"/>
    <cellStyle name="combo" xfId="100"/>
    <cellStyle name="Comma" xfId="1" builtinId="3"/>
    <cellStyle name="Comma 10" xfId="102"/>
    <cellStyle name="Comma 11" xfId="103"/>
    <cellStyle name="Comma 12" xfId="101"/>
    <cellStyle name="Comma 12 2" xfId="274"/>
    <cellStyle name="Comma 12 2 2" xfId="444"/>
    <cellStyle name="Comma 12 3" xfId="279"/>
    <cellStyle name="Comma 12 4" xfId="445"/>
    <cellStyle name="Comma 12 5" xfId="446"/>
    <cellStyle name="Comma 13" xfId="280"/>
    <cellStyle name="Comma 13 2" xfId="447"/>
    <cellStyle name="Comma 14" xfId="281"/>
    <cellStyle name="Comma 15" xfId="282"/>
    <cellStyle name="Comma 15 2" xfId="448"/>
    <cellStyle name="Comma 16" xfId="283"/>
    <cellStyle name="Comma 17" xfId="314"/>
    <cellStyle name="Comma 17 2" xfId="449"/>
    <cellStyle name="Comma 17 2 2" xfId="573"/>
    <cellStyle name="Comma 18" xfId="315"/>
    <cellStyle name="Comma 18 2" xfId="404"/>
    <cellStyle name="Comma 18 3" xfId="450"/>
    <cellStyle name="Comma 18 4" xfId="569"/>
    <cellStyle name="Comma 19" xfId="316"/>
    <cellStyle name="Comma 2" xfId="4"/>
    <cellStyle name="Comma 2 2" xfId="5"/>
    <cellStyle name="Comma 2 2 2" xfId="317"/>
    <cellStyle name="Comma 2 3" xfId="104"/>
    <cellStyle name="Comma 2 4" xfId="318"/>
    <cellStyle name="Comma 2 4 2" xfId="451"/>
    <cellStyle name="Comma 2 4 2 2" xfId="574"/>
    <cellStyle name="Comma 2 4 3" xfId="452"/>
    <cellStyle name="Comma 2 4 4" xfId="570"/>
    <cellStyle name="Comma 2 5" xfId="403"/>
    <cellStyle name="Comma 2 6" xfId="6"/>
    <cellStyle name="Comma 2 6 2" xfId="7"/>
    <cellStyle name="Comma 20" xfId="367"/>
    <cellStyle name="Comma 20 2" xfId="453"/>
    <cellStyle name="Comma 21" xfId="454"/>
    <cellStyle name="Comma 3" xfId="8"/>
    <cellStyle name="Comma 3 2" xfId="105"/>
    <cellStyle name="Comma 3 2 2" xfId="106"/>
    <cellStyle name="Comma 3 3" xfId="284"/>
    <cellStyle name="Comma 3 4" xfId="319"/>
    <cellStyle name="Comma 4" xfId="107"/>
    <cellStyle name="Comma 4 2" xfId="108"/>
    <cellStyle name="Comma 4 2 2" xfId="285"/>
    <cellStyle name="Comma 4 2 3" xfId="455"/>
    <cellStyle name="Comma 4 3" xfId="109"/>
    <cellStyle name="Comma 4 3 2" xfId="286"/>
    <cellStyle name="Comma 4 3 3" xfId="456"/>
    <cellStyle name="Comma 4 4" xfId="287"/>
    <cellStyle name="Comma 4 4 2" xfId="457"/>
    <cellStyle name="Comma 4 4 3" xfId="458"/>
    <cellStyle name="Comma 4 5" xfId="110"/>
    <cellStyle name="Comma 4 5 2" xfId="459"/>
    <cellStyle name="Comma 4 6" xfId="277"/>
    <cellStyle name="Comma 4 6 2" xfId="567"/>
    <cellStyle name="Comma 4 6 3" xfId="460"/>
    <cellStyle name="Comma 5" xfId="111"/>
    <cellStyle name="Comma 5 2" xfId="461"/>
    <cellStyle name="Comma 5 3" xfId="462"/>
    <cellStyle name="Comma 5 4" xfId="463"/>
    <cellStyle name="Comma 6" xfId="112"/>
    <cellStyle name="Comma 6 2" xfId="320"/>
    <cellStyle name="Comma 7" xfId="113"/>
    <cellStyle name="Comma 8" xfId="114"/>
    <cellStyle name="Comma 9" xfId="115"/>
    <cellStyle name="Comma(2)" xfId="116"/>
    <cellStyle name="Comma0" xfId="464"/>
    <cellStyle name="Comma0 - Style2" xfId="117"/>
    <cellStyle name="Comma1 - Style1" xfId="118"/>
    <cellStyle name="Comments" xfId="119"/>
    <cellStyle name="Currency" xfId="2" builtinId="4"/>
    <cellStyle name="Currency 10" xfId="321"/>
    <cellStyle name="Currency 11" xfId="368"/>
    <cellStyle name="Currency 11 2" xfId="412"/>
    <cellStyle name="Currency 12" xfId="465"/>
    <cellStyle name="Currency 13" xfId="466"/>
    <cellStyle name="Currency 2" xfId="9"/>
    <cellStyle name="Currency 2 2" xfId="10"/>
    <cellStyle name="Currency 2 2 2" xfId="122"/>
    <cellStyle name="Currency 2 2 3" xfId="467"/>
    <cellStyle name="Currency 2 3" xfId="121"/>
    <cellStyle name="Currency 2 3 2" xfId="322"/>
    <cellStyle name="Currency 2 3 3" xfId="468"/>
    <cellStyle name="Currency 2 4" xfId="469"/>
    <cellStyle name="Currency 2 6" xfId="11"/>
    <cellStyle name="Currency 2 6 2" xfId="12"/>
    <cellStyle name="Currency 3" xfId="13"/>
    <cellStyle name="Currency 3 2" xfId="124"/>
    <cellStyle name="Currency 3 3" xfId="123"/>
    <cellStyle name="Currency 3 3 2" xfId="470"/>
    <cellStyle name="Currency 3 3 3" xfId="566"/>
    <cellStyle name="Currency 3 3 4" xfId="400"/>
    <cellStyle name="Currency 3 4" xfId="288"/>
    <cellStyle name="Currency 3 5" xfId="471"/>
    <cellStyle name="Currency 3 6" xfId="401"/>
    <cellStyle name="Currency 4" xfId="14"/>
    <cellStyle name="Currency 4 2" xfId="15"/>
    <cellStyle name="Currency 4 3" xfId="472"/>
    <cellStyle name="Currency 4 4" xfId="473"/>
    <cellStyle name="Currency 5" xfId="120"/>
    <cellStyle name="Currency 5 2" xfId="273"/>
    <cellStyle name="Currency 5 3" xfId="289"/>
    <cellStyle name="Currency 6" xfId="290"/>
    <cellStyle name="Currency 7" xfId="291"/>
    <cellStyle name="Currency 8" xfId="323"/>
    <cellStyle name="Currency 8 2" xfId="474"/>
    <cellStyle name="Currency 8 3" xfId="571"/>
    <cellStyle name="Currency 9" xfId="324"/>
    <cellStyle name="Currency0" xfId="475"/>
    <cellStyle name="Data Enter" xfId="125"/>
    <cellStyle name="date" xfId="325"/>
    <cellStyle name="Explanatory Text 2" xfId="127"/>
    <cellStyle name="Explanatory Text 3" xfId="126"/>
    <cellStyle name="F9ReportControlStyle_ctpInquire" xfId="476"/>
    <cellStyle name="FactSheet" xfId="128"/>
    <cellStyle name="fish" xfId="326"/>
    <cellStyle name="Good 2" xfId="130"/>
    <cellStyle name="Good 3" xfId="129"/>
    <cellStyle name="Good 3 2" xfId="477"/>
    <cellStyle name="Good 4" xfId="478"/>
    <cellStyle name="Heading 1 2" xfId="132"/>
    <cellStyle name="Heading 1 2 2" xfId="327"/>
    <cellStyle name="Heading 1 2 3" xfId="479"/>
    <cellStyle name="Heading 1 3" xfId="131"/>
    <cellStyle name="Heading 1 3 2" xfId="328"/>
    <cellStyle name="Heading 1 3 3" xfId="480"/>
    <cellStyle name="Heading 1 4" xfId="391"/>
    <cellStyle name="Heading 2 2" xfId="134"/>
    <cellStyle name="Heading 2 2 2" xfId="329"/>
    <cellStyle name="Heading 2 2 3" xfId="481"/>
    <cellStyle name="Heading 2 3" xfId="133"/>
    <cellStyle name="Heading 2 3 2" xfId="330"/>
    <cellStyle name="Heading 2 3 3" xfId="482"/>
    <cellStyle name="Heading 2 4" xfId="390"/>
    <cellStyle name="Heading 3 2" xfId="136"/>
    <cellStyle name="Heading 3 2 2" xfId="331"/>
    <cellStyle name="Heading 3 2 3" xfId="483"/>
    <cellStyle name="Heading 3 3" xfId="135"/>
    <cellStyle name="Heading 3 3 2" xfId="332"/>
    <cellStyle name="Heading 3 3 3" xfId="484"/>
    <cellStyle name="Heading 3 4" xfId="389"/>
    <cellStyle name="Heading 4 2" xfId="138"/>
    <cellStyle name="Heading 4 3" xfId="137"/>
    <cellStyle name="Heading 4 3 2" xfId="485"/>
    <cellStyle name="Hyperlink 2" xfId="139"/>
    <cellStyle name="Hyperlink 3" xfId="140"/>
    <cellStyle name="Hyperlink 3 2" xfId="292"/>
    <cellStyle name="Input 2" xfId="142"/>
    <cellStyle name="Input 3" xfId="141"/>
    <cellStyle name="Input 3 2" xfId="486"/>
    <cellStyle name="input(0)" xfId="143"/>
    <cellStyle name="Input(2)" xfId="144"/>
    <cellStyle name="Linked Cell 2" xfId="146"/>
    <cellStyle name="Linked Cell 2 2" xfId="333"/>
    <cellStyle name="Linked Cell 2 3" xfId="487"/>
    <cellStyle name="Linked Cell 3" xfId="145"/>
    <cellStyle name="Linked Cell 3 2" xfId="488"/>
    <cellStyle name="Neutral 2" xfId="148"/>
    <cellStyle name="Neutral 2 2" xfId="334"/>
    <cellStyle name="Neutral 2 3" xfId="489"/>
    <cellStyle name="Neutral 3" xfId="147"/>
    <cellStyle name="Neutral 3 2" xfId="490"/>
    <cellStyle name="New_normal" xfId="149"/>
    <cellStyle name="Normal" xfId="0" builtinId="0"/>
    <cellStyle name="Normal - Style1" xfId="150"/>
    <cellStyle name="Normal - Style2" xfId="151"/>
    <cellStyle name="Normal - Style3" xfId="152"/>
    <cellStyle name="Normal - Style4" xfId="153"/>
    <cellStyle name="Normal - Style5" xfId="154"/>
    <cellStyle name="Normal 10" xfId="155"/>
    <cellStyle name="Normal 10 2" xfId="16"/>
    <cellStyle name="Normal 10 2 2" xfId="336"/>
    <cellStyle name="Normal 10 2 3" xfId="335"/>
    <cellStyle name="Normal 10 2 4" xfId="491"/>
    <cellStyle name="Normal 10 2 5" xfId="565"/>
    <cellStyle name="Normal 10 3" xfId="492"/>
    <cellStyle name="Normal 10_2112 DF Schedule" xfId="337"/>
    <cellStyle name="Normal 100" xfId="377"/>
    <cellStyle name="Normal 101" xfId="379"/>
    <cellStyle name="Normal 102" xfId="380"/>
    <cellStyle name="Normal 103" xfId="381"/>
    <cellStyle name="Normal 104" xfId="382"/>
    <cellStyle name="Normal 105" xfId="378"/>
    <cellStyle name="Normal 106" xfId="383"/>
    <cellStyle name="Normal 107" xfId="384"/>
    <cellStyle name="Normal 108" xfId="385"/>
    <cellStyle name="Normal 109" xfId="493"/>
    <cellStyle name="Normal 11" xfId="156"/>
    <cellStyle name="Normal 11 2" xfId="494"/>
    <cellStyle name="Normal 11 2 2" xfId="495"/>
    <cellStyle name="Normal 110" xfId="496"/>
    <cellStyle name="Normal 111" xfId="497"/>
    <cellStyle name="Normal 12" xfId="157"/>
    <cellStyle name="Normal 12 2" xfId="338"/>
    <cellStyle name="Normal 12 3" xfId="498"/>
    <cellStyle name="Normal 12 4" xfId="499"/>
    <cellStyle name="Normal 12 5" xfId="500"/>
    <cellStyle name="Normal 12_Sheet1" xfId="501"/>
    <cellStyle name="Normal 13" xfId="158"/>
    <cellStyle name="Normal 13 2" xfId="339"/>
    <cellStyle name="Normal 13 3" xfId="502"/>
    <cellStyle name="Normal 13 4" xfId="503"/>
    <cellStyle name="Normal 13 5" xfId="504"/>
    <cellStyle name="Normal 13_Sheet1" xfId="505"/>
    <cellStyle name="Normal 14" xfId="159"/>
    <cellStyle name="Normal 14 2" xfId="340"/>
    <cellStyle name="Normal 14 3" xfId="506"/>
    <cellStyle name="Normal 14 4" xfId="507"/>
    <cellStyle name="Normal 14_Sheet1" xfId="508"/>
    <cellStyle name="Normal 15" xfId="160"/>
    <cellStyle name="Normal 15 2" xfId="341"/>
    <cellStyle name="Normal 15 3" xfId="509"/>
    <cellStyle name="Normal 15 4" xfId="510"/>
    <cellStyle name="Normal 16" xfId="161"/>
    <cellStyle name="Normal 16 2" xfId="342"/>
    <cellStyle name="Normal 16 3" xfId="511"/>
    <cellStyle name="Normal 17" xfId="162"/>
    <cellStyle name="Normal 17 2" xfId="343"/>
    <cellStyle name="Normal 17 3" xfId="512"/>
    <cellStyle name="Normal 18" xfId="163"/>
    <cellStyle name="Normal 18 2" xfId="344"/>
    <cellStyle name="Normal 18 3" xfId="513"/>
    <cellStyle name="Normal 19" xfId="164"/>
    <cellStyle name="Normal 19 2" xfId="345"/>
    <cellStyle name="Normal 19 3" xfId="514"/>
    <cellStyle name="Normal 2" xfId="17"/>
    <cellStyle name="Normal 2 10" xfId="515"/>
    <cellStyle name="Normal 2 11" xfId="516"/>
    <cellStyle name="Normal 2 2" xfId="18"/>
    <cellStyle name="Normal 2 2 2" xfId="166"/>
    <cellStyle name="Normal 2 2 2 2" xfId="517"/>
    <cellStyle name="Normal 2 2 3" xfId="165"/>
    <cellStyle name="Normal 2 2 4" xfId="518"/>
    <cellStyle name="Normal 2 2_4MthProj2" xfId="519"/>
    <cellStyle name="Normal 2 3" xfId="167"/>
    <cellStyle name="Normal 2 3 2" xfId="168"/>
    <cellStyle name="Normal 2 3 3" xfId="293"/>
    <cellStyle name="Normal 2 3_4MthProj2" xfId="520"/>
    <cellStyle name="Normal 2 4" xfId="294"/>
    <cellStyle name="Normal 2 4 2" xfId="521"/>
    <cellStyle name="Normal 2 5" xfId="295"/>
    <cellStyle name="Normal 2 6" xfId="388"/>
    <cellStyle name="Normal 2 6 2" xfId="572"/>
    <cellStyle name="Normal 2 7" xfId="522"/>
    <cellStyle name="Normal 2 8" xfId="523"/>
    <cellStyle name="Normal 2 9" xfId="524"/>
    <cellStyle name="Normal 2_2009 Regulated Price Out" xfId="525"/>
    <cellStyle name="Normal 20" xfId="169"/>
    <cellStyle name="Normal 20 2" xfId="526"/>
    <cellStyle name="Normal 20 3" xfId="527"/>
    <cellStyle name="Normal 21" xfId="170"/>
    <cellStyle name="Normal 21 2" xfId="528"/>
    <cellStyle name="Normal 22" xfId="171"/>
    <cellStyle name="Normal 22 2" xfId="529"/>
    <cellStyle name="Normal 23" xfId="172"/>
    <cellStyle name="Normal 23 2" xfId="530"/>
    <cellStyle name="Normal 24" xfId="173"/>
    <cellStyle name="Normal 24 2" xfId="531"/>
    <cellStyle name="Normal 25" xfId="174"/>
    <cellStyle name="Normal 26" xfId="175"/>
    <cellStyle name="Normal 27" xfId="176"/>
    <cellStyle name="Normal 27 2" xfId="532"/>
    <cellStyle name="Normal 28" xfId="177"/>
    <cellStyle name="Normal 29" xfId="178"/>
    <cellStyle name="Normal 3" xfId="19"/>
    <cellStyle name="Normal 3 2" xfId="180"/>
    <cellStyle name="Normal 3 2 2" xfId="533"/>
    <cellStyle name="Normal 3 3" xfId="179"/>
    <cellStyle name="Normal 3 3 2" xfId="534"/>
    <cellStyle name="Normal 3 4" xfId="278"/>
    <cellStyle name="Normal 3 4 2" xfId="568"/>
    <cellStyle name="Normal 3 4 3" xfId="535"/>
    <cellStyle name="Normal 3_2012 PR" xfId="181"/>
    <cellStyle name="Normal 30" xfId="182"/>
    <cellStyle name="Normal 31" xfId="183"/>
    <cellStyle name="Normal 31 2" xfId="536"/>
    <cellStyle name="Normal 32" xfId="184"/>
    <cellStyle name="Normal 33" xfId="185"/>
    <cellStyle name="Normal 34" xfId="186"/>
    <cellStyle name="Normal 35" xfId="187"/>
    <cellStyle name="Normal 36" xfId="188"/>
    <cellStyle name="Normal 37" xfId="189"/>
    <cellStyle name="Normal 38" xfId="190"/>
    <cellStyle name="Normal 39" xfId="191"/>
    <cellStyle name="Normal 4" xfId="20"/>
    <cellStyle name="Normal 4 2" xfId="192"/>
    <cellStyle name="Normal 4 2 2" xfId="537"/>
    <cellStyle name="Normal 4 3" xfId="538"/>
    <cellStyle name="Normal 4 3 2" xfId="539"/>
    <cellStyle name="Normal 4_Consolidated IS" xfId="540"/>
    <cellStyle name="Normal 40" xfId="193"/>
    <cellStyle name="Normal 41" xfId="194"/>
    <cellStyle name="Normal 42" xfId="195"/>
    <cellStyle name="Normal 43" xfId="196"/>
    <cellStyle name="Normal 44" xfId="197"/>
    <cellStyle name="Normal 45" xfId="198"/>
    <cellStyle name="Normal 46" xfId="199"/>
    <cellStyle name="Normal 47" xfId="200"/>
    <cellStyle name="Normal 48" xfId="201"/>
    <cellStyle name="Normal 49" xfId="202"/>
    <cellStyle name="Normal 5" xfId="21"/>
    <cellStyle name="Normal 5 2" xfId="203"/>
    <cellStyle name="Normal 5 3" xfId="541"/>
    <cellStyle name="Normal 5 4" xfId="542"/>
    <cellStyle name="Normal 5_2112 DF Schedule" xfId="346"/>
    <cellStyle name="Normal 50" xfId="204"/>
    <cellStyle name="Normal 51" xfId="205"/>
    <cellStyle name="Normal 52" xfId="206"/>
    <cellStyle name="Normal 53" xfId="207"/>
    <cellStyle name="Normal 54" xfId="208"/>
    <cellStyle name="Normal 55" xfId="209"/>
    <cellStyle name="Normal 56" xfId="210"/>
    <cellStyle name="Normal 57" xfId="211"/>
    <cellStyle name="Normal 58" xfId="212"/>
    <cellStyle name="Normal 59" xfId="213"/>
    <cellStyle name="Normal 6" xfId="22"/>
    <cellStyle name="Normal 6 2" xfId="214"/>
    <cellStyle name="Normal 6 2 2" xfId="543"/>
    <cellStyle name="Normal 6 3" xfId="544"/>
    <cellStyle name="Normal 60" xfId="215"/>
    <cellStyle name="Normal 61" xfId="216"/>
    <cellStyle name="Normal 62" xfId="217"/>
    <cellStyle name="Normal 63" xfId="218"/>
    <cellStyle name="Normal 64" xfId="219"/>
    <cellStyle name="Normal 65" xfId="220"/>
    <cellStyle name="Normal 66" xfId="221"/>
    <cellStyle name="Normal 67" xfId="222"/>
    <cellStyle name="Normal 68" xfId="223"/>
    <cellStyle name="Normal 69" xfId="224"/>
    <cellStyle name="Normal 7" xfId="225"/>
    <cellStyle name="Normal 7 2" xfId="409"/>
    <cellStyle name="Normal 7 2 2" xfId="545"/>
    <cellStyle name="Normal 70" xfId="226"/>
    <cellStyle name="Normal 71" xfId="227"/>
    <cellStyle name="Normal 72" xfId="228"/>
    <cellStyle name="Normal 73" xfId="229"/>
    <cellStyle name="Normal 74" xfId="230"/>
    <cellStyle name="Normal 75" xfId="231"/>
    <cellStyle name="Normal 76" xfId="232"/>
    <cellStyle name="Normal 77" xfId="233"/>
    <cellStyle name="Normal 78" xfId="234"/>
    <cellStyle name="Normal 79" xfId="235"/>
    <cellStyle name="Normal 8" xfId="236"/>
    <cellStyle name="Normal 8 2" xfId="546"/>
    <cellStyle name="Normal 8 2 2" xfId="547"/>
    <cellStyle name="Normal 80" xfId="237"/>
    <cellStyle name="Normal 81" xfId="238"/>
    <cellStyle name="Normal 82" xfId="239"/>
    <cellStyle name="Normal 83" xfId="240"/>
    <cellStyle name="Normal 84" xfId="37"/>
    <cellStyle name="Normal 84 2" xfId="275"/>
    <cellStyle name="Normal 84 3" xfId="347"/>
    <cellStyle name="Normal 85" xfId="249"/>
    <cellStyle name="Normal 85 2" xfId="407"/>
    <cellStyle name="Normal 85 3" xfId="548"/>
    <cellStyle name="Normal 86" xfId="267"/>
    <cellStyle name="Normal 87" xfId="268"/>
    <cellStyle name="Normal 88" xfId="269"/>
    <cellStyle name="Normal 89" xfId="270"/>
    <cellStyle name="Normal 9" xfId="241"/>
    <cellStyle name="Normal 9 2" xfId="549"/>
    <cellStyle name="Normal 9 2 2" xfId="550"/>
    <cellStyle name="Normal 90" xfId="271"/>
    <cellStyle name="Normal 91" xfId="276"/>
    <cellStyle name="Normal 92" xfId="366"/>
    <cellStyle name="Normal 92 2" xfId="402"/>
    <cellStyle name="Normal 93" xfId="370"/>
    <cellStyle name="Normal 93 2" xfId="408"/>
    <cellStyle name="Normal 94" xfId="371"/>
    <cellStyle name="Normal 95" xfId="372"/>
    <cellStyle name="Normal 96" xfId="373"/>
    <cellStyle name="Normal 97" xfId="374"/>
    <cellStyle name="Normal 98" xfId="375"/>
    <cellStyle name="Normal 99" xfId="376"/>
    <cellStyle name="Normal_Regulated Price Out 9-6-2011 Final HL" xfId="386"/>
    <cellStyle name="Normal_Thurston DF Schedule" xfId="399"/>
    <cellStyle name="Note 2" xfId="243"/>
    <cellStyle name="Note 2 2" xfId="348"/>
    <cellStyle name="Note 2 3" xfId="551"/>
    <cellStyle name="Note 3" xfId="242"/>
    <cellStyle name="Note 3 2" xfId="349"/>
    <cellStyle name="Note 3 3" xfId="552"/>
    <cellStyle name="Note 4" xfId="410"/>
    <cellStyle name="Notes" xfId="244"/>
    <cellStyle name="Output 2" xfId="246"/>
    <cellStyle name="Output 3" xfId="245"/>
    <cellStyle name="Output 3 2" xfId="553"/>
    <cellStyle name="Percent" xfId="3" builtinId="5"/>
    <cellStyle name="Percent 10" xfId="554"/>
    <cellStyle name="Percent 2" xfId="23"/>
    <cellStyle name="Percent 2 2" xfId="24"/>
    <cellStyle name="Percent 2 2 2" xfId="248"/>
    <cellStyle name="Percent 2 2 3" xfId="555"/>
    <cellStyle name="Percent 2 3" xfId="350"/>
    <cellStyle name="Percent 2 4" xfId="556"/>
    <cellStyle name="Percent 2 6" xfId="25"/>
    <cellStyle name="Percent 3" xfId="26"/>
    <cellStyle name="Percent 3 2" xfId="27"/>
    <cellStyle name="Percent 3 2 2" xfId="557"/>
    <cellStyle name="Percent 4" xfId="28"/>
    <cellStyle name="Percent 4 2" xfId="352"/>
    <cellStyle name="Percent 4 3" xfId="351"/>
    <cellStyle name="Percent 4 4" xfId="558"/>
    <cellStyle name="Percent 5" xfId="250"/>
    <cellStyle name="Percent 5 2" xfId="559"/>
    <cellStyle name="Percent 6" xfId="251"/>
    <cellStyle name="Percent 6 2" xfId="560"/>
    <cellStyle name="Percent 7" xfId="247"/>
    <cellStyle name="Percent 7 2" xfId="272"/>
    <cellStyle name="Percent 7 3" xfId="353"/>
    <cellStyle name="Percent 8" xfId="354"/>
    <cellStyle name="Percent 9" xfId="369"/>
    <cellStyle name="Percent 9 2" xfId="561"/>
    <cellStyle name="Percent(1)" xfId="252"/>
    <cellStyle name="Percent(2)" xfId="253"/>
    <cellStyle name="PRM" xfId="254"/>
    <cellStyle name="PRM 2" xfId="255"/>
    <cellStyle name="PRM 3" xfId="256"/>
    <cellStyle name="PRM_2011-11" xfId="257"/>
    <cellStyle name="PS_Comma" xfId="29"/>
    <cellStyle name="PSChar" xfId="30"/>
    <cellStyle name="PSDate" xfId="31"/>
    <cellStyle name="PSDec" xfId="32"/>
    <cellStyle name="PSHeading" xfId="33"/>
    <cellStyle name="PSInt" xfId="34"/>
    <cellStyle name="PSSpacer" xfId="35"/>
    <cellStyle name="STYL0 - Style1" xfId="355"/>
    <cellStyle name="STYL1 - Style2" xfId="356"/>
    <cellStyle name="STYL2 - Style3" xfId="357"/>
    <cellStyle name="STYL3 - Style4" xfId="358"/>
    <cellStyle name="STYL4 - Style5" xfId="359"/>
    <cellStyle name="STYL5 - Style6" xfId="360"/>
    <cellStyle name="STYL6 - Style7" xfId="361"/>
    <cellStyle name="STYL7 - Style8" xfId="362"/>
    <cellStyle name="Style 1" xfId="258"/>
    <cellStyle name="Style 1 2" xfId="259"/>
    <cellStyle name="STYLE1" xfId="260"/>
    <cellStyle name="sub heading" xfId="363"/>
    <cellStyle name="Title 2" xfId="262"/>
    <cellStyle name="Title 3" xfId="261"/>
    <cellStyle name="Title 3 2" xfId="562"/>
    <cellStyle name="Total 2" xfId="264"/>
    <cellStyle name="Total 2 2" xfId="364"/>
    <cellStyle name="Total 2 3" xfId="563"/>
    <cellStyle name="Total 3" xfId="263"/>
    <cellStyle name="Total 3 2" xfId="365"/>
    <cellStyle name="Total 3 3" xfId="564"/>
    <cellStyle name="Total 4" xfId="411"/>
    <cellStyle name="Warning Text 2" xfId="266"/>
    <cellStyle name="Warning Text 3" xfId="265"/>
    <cellStyle name="WM_STANDARD" xfId="3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externalLink" Target="externalLinks/externalLink8.xml"/><Relationship Id="rId18" Type="http://schemas.openxmlformats.org/officeDocument/2006/relationships/externalLink" Target="externalLinks/externalLink13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6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externalLink" Target="externalLinks/externalLink12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1.xml"/><Relationship Id="rId20" Type="http://schemas.openxmlformats.org/officeDocument/2006/relationships/externalLink" Target="externalLinks/externalLink15.xml"/><Relationship Id="rId29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0.xml"/><Relationship Id="rId23" Type="http://schemas.openxmlformats.org/officeDocument/2006/relationships/externalLink" Target="externalLinks/externalLink18.xml"/><Relationship Id="rId28" Type="http://schemas.openxmlformats.org/officeDocument/2006/relationships/customXml" Target="../customXml/item1.xml"/><Relationship Id="rId10" Type="http://schemas.openxmlformats.org/officeDocument/2006/relationships/externalLink" Target="externalLinks/externalLink5.xml"/><Relationship Id="rId19" Type="http://schemas.openxmlformats.org/officeDocument/2006/relationships/externalLink" Target="externalLinks/externalLink14.xml"/><Relationship Id="rId31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externalLink" Target="externalLinks/externalLink9.xml"/><Relationship Id="rId22" Type="http://schemas.openxmlformats.org/officeDocument/2006/relationships/externalLink" Target="externalLinks/externalLink17.xml"/><Relationship Id="rId27" Type="http://schemas.openxmlformats.org/officeDocument/2006/relationships/calcChain" Target="calcChain.xml"/><Relationship Id="rId30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c_db5_srv\SRC\User\REPORTS\STANDARD%20REPORTS\CUSTOM%20REPORTS\PL_RollingTrend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Vashon\Rate%20Incr%201-1-2012\Vashon%20Pro%20Forma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irmgardw\Local%20Settings\Temporary%20Internet%20Files\Content.Outlook\1ZKX32J2\Proforma%209-14-10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cinf06\sacshare\Data_Automation\DMS\RouteManagerReports\RM_MM001_Query_v4c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cshare\sacshare\Data_Automation\DMS\RouteManagerReports\RM_MM001_Query_v4c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microsoft.com/office/2006/relationships/xlExternalLinkPath/xlPathMissing" Target="ExcelFinancials_v3b1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nnual%20Reports\2180%20LeMay\2009\LeMay%20Annual%20Report%2009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LeMay\Master%20Truck%20Schedule\South_LeMay%20Master%20Truck%20Schedule-Shared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microsoft.com/office/2006/relationships/xlExternalLinkPath/xlPathMissing" Target="ExcelFinancials_v3c1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Western%20Region/WUTC/WUTC-LeMay/Dump%20Fee/2186%20Grays%20Harbor/DF%20Incr%201-1-2014/Gray's%20Harbor%20Dump%20Fee%20Filing%20Effective%201.1.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disnap\accounting\MODEST~1\2032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AL_WASTE\SYS\ACCOUNT\CV2000\022000\2000_FEBRUARY_%20GL%20RECON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RC%20Reports\SRC%20Format\Bonus%20Schedule\PNWR%20SRC%20Bonus%20Schedule%202003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LeMay\2183-1%20Pacific%20Disp,%20Butlers%20Cove\Filing%20Possibly%202012\Filing\Audit\Final%20Outcome%208-14-2012\Pro%20Forma%20Pacific%20Disposal_Staff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ason\Rate%20Increase%201-1-2013\1%20Filing%2011-14-2012\Revised%202-21-2013\staff%20Mason%20Proforma%209-30-2012-Linked%20Cust%20Count%20Fix%2012-27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cinf05\DistShares\WCNX%20Stuff\Excel\Financials\Excel%20Financials\ExcelFinancials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Western%20Region/WUTC/WUTC-Columbia%202025/General%20Filing%204-15-2016/Filed%204-15-16/CRD%20Pro%20forma%203-31-2016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Western%20Region/ControllerDir/Brent_Blair_Kortney/PO%20Report%20by%20Division/PO%20Report_v3b%202013-08-26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"/>
      <sheetName val="Instructions"/>
      <sheetName val="User"/>
      <sheetName val="Settings"/>
      <sheetName val="Orientation"/>
      <sheetName val="Delivery"/>
      <sheetName val="RptClose"/>
      <sheetName val="Hidden"/>
    </sheetNames>
    <sheetDataSet>
      <sheetData sheetId="0" refreshError="1"/>
      <sheetData sheetId="1" refreshError="1"/>
      <sheetData sheetId="2" refreshError="1"/>
      <sheetData sheetId="3" refreshError="1">
        <row r="5">
          <cell r="D5">
            <v>10.71</v>
          </cell>
        </row>
        <row r="14">
          <cell r="C14" t="str">
            <v>dist</v>
          </cell>
          <cell r="E14" t="str">
            <v>=</v>
          </cell>
          <cell r="F14">
            <v>2149</v>
          </cell>
        </row>
      </sheetData>
      <sheetData sheetId="4" refreshError="1">
        <row r="6">
          <cell r="F6" t="str">
            <v>Time Series</v>
          </cell>
        </row>
        <row r="17">
          <cell r="B17" t="str">
            <v>ACCT</v>
          </cell>
          <cell r="C17" t="str">
            <v>-</v>
          </cell>
        </row>
        <row r="22">
          <cell r="C22" t="str">
            <v>Financial</v>
          </cell>
        </row>
        <row r="23">
          <cell r="C23" t="str">
            <v>ALL</v>
          </cell>
        </row>
        <row r="24">
          <cell r="C24" t="str">
            <v>Variable</v>
          </cell>
        </row>
      </sheetData>
      <sheetData sheetId="5" refreshError="1">
        <row r="8">
          <cell r="E8" t="str">
            <v>Report</v>
          </cell>
        </row>
        <row r="12">
          <cell r="B12" t="b">
            <v>0</v>
          </cell>
        </row>
      </sheetData>
      <sheetData sheetId="6" refreshError="1"/>
      <sheetData sheetId="7" refreshError="1">
        <row r="11">
          <cell r="D11">
            <v>10002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 t="str">
            <v>Cash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ss A, IS "/>
      <sheetName val="Vashon BS"/>
      <sheetName val="Vashon IS"/>
      <sheetName val="Consolidated IS"/>
      <sheetName val="Restating Adj"/>
      <sheetName val="Prof Adj"/>
      <sheetName val="Price-out"/>
      <sheetName val="LG-Total Comp"/>
      <sheetName val="LG-Packer Rts"/>
      <sheetName val="LG-RO Rts"/>
      <sheetName val="LG-Recycl"/>
      <sheetName val="DF Schedule"/>
      <sheetName val="Depr-Summary"/>
      <sheetName val="2132 Trks"/>
      <sheetName val="2132 Cont, DB"/>
      <sheetName val="2132 Oth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ss A IS"/>
      <sheetName val="Consolidated BS"/>
      <sheetName val="IS-2120"/>
      <sheetName val="IS-2121"/>
      <sheetName val="Consolidated IS"/>
      <sheetName val="Proforma"/>
      <sheetName val="Restate-Regulated"/>
      <sheetName val="Restating Expl"/>
      <sheetName val="Pro forma Adj"/>
      <sheetName val="LG"/>
      <sheetName val="LG-Pckr Rts"/>
      <sheetName val="LG-RO"/>
      <sheetName val="LG-Recycl"/>
      <sheetName val="Price-out"/>
      <sheetName val="Rate Schedule"/>
      <sheetName val="2120 Depr Summary"/>
      <sheetName val="2120 Depr"/>
      <sheetName val="2121 Depr Summary"/>
      <sheetName val="2121 Depr"/>
      <sheetName val="2120 Fuel "/>
      <sheetName val="DF-Summary"/>
      <sheetName val="Whitman"/>
      <sheetName val="Spokane"/>
      <sheetName val="Lincoln"/>
      <sheetName val="Med Waste"/>
      <sheetName val="Payroll, 2120"/>
      <sheetName val="Contract-Rev,Cust Cnt"/>
      <sheetName val="Time Allocation"/>
    </sheetNames>
    <sheetDataSet>
      <sheetData sheetId="0"/>
      <sheetData sheetId="1"/>
      <sheetData sheetId="2"/>
      <sheetData sheetId="3"/>
      <sheetData sheetId="4">
        <row r="91">
          <cell r="C91">
            <v>8686.3100000000013</v>
          </cell>
        </row>
      </sheetData>
      <sheetData sheetId="5"/>
      <sheetData sheetId="6">
        <row r="19">
          <cell r="G19">
            <v>2099422.06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M001Tranx"/>
      <sheetName val="JEexport"/>
      <sheetName val="Intro Memo"/>
      <sheetName val="JE_Summary"/>
      <sheetName val="Mth00"/>
      <sheetName val="Mth01"/>
      <sheetName val="Mth02"/>
      <sheetName val="Mth03"/>
      <sheetName val="Mth04"/>
      <sheetName val="Mth05"/>
      <sheetName val="Mth06"/>
      <sheetName val="Mth07"/>
      <sheetName val="Mth08"/>
      <sheetName val="Mth09"/>
      <sheetName val="Mth10"/>
      <sheetName val="Mth11"/>
      <sheetName val="Mth12"/>
      <sheetName val="TEST"/>
      <sheetName val="To Do"/>
      <sheetName val="GLMapping"/>
      <sheetName val="BatchLog"/>
      <sheetName val="Reference"/>
    </sheetNames>
    <sheetDataSet>
      <sheetData sheetId="0"/>
      <sheetData sheetId="1">
        <row r="9">
          <cell r="L9">
            <v>11501</v>
          </cell>
        </row>
        <row r="10">
          <cell r="L10" t="str">
            <v>11501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M001Tranx"/>
      <sheetName val="JEexport"/>
      <sheetName val="Intro Memo"/>
      <sheetName val="JE_Summary"/>
      <sheetName val="Mth00"/>
      <sheetName val="Mth01"/>
      <sheetName val="Mth02"/>
      <sheetName val="Mth03"/>
      <sheetName val="Mth04"/>
      <sheetName val="Mth05"/>
      <sheetName val="Mth06"/>
      <sheetName val="Mth07"/>
      <sheetName val="Mth08"/>
      <sheetName val="Mth09"/>
      <sheetName val="Mth10"/>
      <sheetName val="Mth11"/>
      <sheetName val="Mth12"/>
      <sheetName val="TEST"/>
      <sheetName val="To Do"/>
      <sheetName val="GLMapping"/>
      <sheetName val="BatchLog"/>
      <sheetName val="Reference"/>
    </sheetNames>
    <sheetDataSet>
      <sheetData sheetId="0"/>
      <sheetData sheetId="1">
        <row r="9">
          <cell r="L9">
            <v>11501</v>
          </cell>
        </row>
        <row r="10">
          <cell r="L10" t="str">
            <v>11501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rorNote"/>
      <sheetName val="ControlPanel"/>
      <sheetName val="PL_ActReview"/>
      <sheetName val="PL_ActReview2"/>
      <sheetName val="BS_Close"/>
      <sheetName val="PL_ActTranx"/>
      <sheetName val="IS200PL"/>
      <sheetName val="IS210PL"/>
      <sheetName val="ProjRevCheck"/>
      <sheetName val="BDebtCheck"/>
      <sheetName val="52901Check"/>
      <sheetName val="ICCheck"/>
      <sheetName val="BSCheck"/>
      <sheetName val="BadJECheck"/>
      <sheetName val="JE_Review"/>
      <sheetName val="Proj1"/>
      <sheetName val="Proj2"/>
    </sheetNames>
    <sheetDataSet>
      <sheetData sheetId="0"/>
      <sheetData sheetId="1" refreshError="1">
        <row r="2">
          <cell r="S2" t="str">
            <v>P&amp;L Close Report</v>
          </cell>
        </row>
        <row r="3">
          <cell r="S3" t="str">
            <v>P&amp;L Close Report 2</v>
          </cell>
        </row>
        <row r="4">
          <cell r="S4" t="str">
            <v>BS Close Report</v>
          </cell>
        </row>
        <row r="5">
          <cell r="S5" t="str">
            <v>IS 200 - PL Review</v>
          </cell>
        </row>
        <row r="6">
          <cell r="S6" t="str">
            <v>IS 210 - PL Review</v>
          </cell>
        </row>
        <row r="7">
          <cell r="S7" t="str">
            <v>P&amp;L Tranx Report</v>
          </cell>
        </row>
        <row r="8">
          <cell r="S8" t="str">
            <v>JE Review Report</v>
          </cell>
        </row>
        <row r="9">
          <cell r="S9" t="str">
            <v>Corp: Rev/Proj Check</v>
          </cell>
        </row>
        <row r="10">
          <cell r="S10" t="str">
            <v>Corp: 52901 Check</v>
          </cell>
        </row>
        <row r="11">
          <cell r="S11" t="str">
            <v>Corp: BS Check</v>
          </cell>
        </row>
        <row r="12">
          <cell r="S12" t="str">
            <v>Corp: Bad Debt Check</v>
          </cell>
        </row>
        <row r="13">
          <cell r="S13" t="str">
            <v>Corp: IC Check</v>
          </cell>
        </row>
        <row r="14">
          <cell r="S14" t="str">
            <v>Corp: JE Neg Check</v>
          </cell>
        </row>
        <row r="15">
          <cell r="S15" t="str">
            <v>Proj Review Report</v>
          </cell>
        </row>
        <row r="16">
          <cell r="S16" t="str">
            <v>Proj Review Report 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ssA, Certification"/>
      <sheetName val="OrgControl"/>
      <sheetName val="InsuranceAccident"/>
      <sheetName val="bsasset"/>
      <sheetName val="bsliab"/>
      <sheetName val="FixedAssets"/>
      <sheetName val="RetainedEarnings"/>
      <sheetName val="Income Statement"/>
      <sheetName val="RevenuesCust"/>
      <sheetName val="Recycle"/>
      <sheetName val="contracts"/>
      <sheetName val="GarbageDisp"/>
      <sheetName val="RecycleProcessing"/>
      <sheetName val="Payroll"/>
      <sheetName val="FeeCal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 Truck Schedule"/>
      <sheetName val="Jun 2011 FAR"/>
      <sheetName val="Scrap List"/>
      <sheetName val="Sheet1"/>
      <sheetName val="Sheet2"/>
      <sheetName val="Sheet3"/>
      <sheetName val="Sheet4"/>
      <sheetName val="Feb'12 FAR Data"/>
      <sheetName val="Sheet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rorNote"/>
      <sheetName val="ControlPanel"/>
      <sheetName val="4MthProj1"/>
      <sheetName val="4MthProj2"/>
      <sheetName val="PL_ActReview"/>
      <sheetName val="PL_ActReview2"/>
      <sheetName val="BS_Close"/>
      <sheetName val="IS200PL"/>
      <sheetName val="PL_ActTranx"/>
      <sheetName val="IS210PL"/>
      <sheetName val="ProjRevCheck"/>
      <sheetName val="BDebtCheck"/>
      <sheetName val="52901Check"/>
      <sheetName val="ICCheck"/>
      <sheetName val="BSCheck"/>
      <sheetName val="BadJECheck"/>
      <sheetName val="JE_Review"/>
      <sheetName val="Proj1"/>
      <sheetName val="Proj2"/>
    </sheetNames>
    <sheetDataSet>
      <sheetData sheetId="0"/>
      <sheetData sheetId="1">
        <row r="2">
          <cell r="S2" t="str">
            <v>P&amp;L Close Report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H Reg DF Calc"/>
      <sheetName val="Rate Sheet"/>
      <sheetName val="Explanations"/>
      <sheetName val="DF Schedule"/>
      <sheetName val="Regulated Cust Count"/>
      <sheetName val="GH Non-Reg DF Alloc"/>
      <sheetName val="Non-Reg Cust Count"/>
      <sheetName val="Revenue Recon"/>
      <sheetName val="Income Statement"/>
    </sheetNames>
    <sheetDataSet>
      <sheetData sheetId="0">
        <row r="113">
          <cell r="F113">
            <v>16034017.099368501</v>
          </cell>
        </row>
      </sheetData>
      <sheetData sheetId="1" refreshError="1"/>
      <sheetData sheetId="2"/>
      <sheetData sheetId="3" refreshError="1"/>
      <sheetData sheetId="4" refreshError="1"/>
      <sheetData sheetId="5">
        <row r="151">
          <cell r="F151">
            <v>35179732.748155177</v>
          </cell>
        </row>
      </sheetData>
      <sheetData sheetId="6" refreshError="1"/>
      <sheetData sheetId="7" refreshError="1"/>
      <sheetData sheetId="8">
        <row r="63">
          <cell r="AE63">
            <v>3157737.89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320"/>
      <sheetName val="#REF"/>
    </sheetNames>
    <sheetDataSet>
      <sheetData sheetId="0" refreshError="1"/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ttyCash-10110"/>
      <sheetName val="10200"/>
      <sheetName val="10210"/>
      <sheetName val="10250_RECON"/>
      <sheetName val="10250_MVPSS"/>
      <sheetName val="10250_Recy Chkg"/>
      <sheetName val="10250_Reimb Accts"/>
      <sheetName val="10250_Rollfwd"/>
      <sheetName val="10410_Rollfwd"/>
      <sheetName val="10410_Recon"/>
      <sheetName val="10410_Trade"/>
      <sheetName val="10410_Lodi"/>
      <sheetName val="10410_Sac Co"/>
      <sheetName val="10410_Brokered"/>
      <sheetName val="10420_Rollfwd"/>
      <sheetName val="10420 RECON"/>
      <sheetName val="Rollfwd_10550"/>
      <sheetName val="Recon_10550"/>
      <sheetName val="Recon_10555"/>
      <sheetName val="Recon_10610"/>
      <sheetName val="A170XX-October"/>
      <sheetName val="Recon_10760"/>
      <sheetName val="Rollfwd_10820"/>
      <sheetName val="PPXXC_10830"/>
      <sheetName val="Schedule_10830"/>
      <sheetName val="Recon_10830"/>
      <sheetName val="Rollfwd_10850"/>
      <sheetName val="Recon_10850"/>
      <sheetName val="ReconSumm_10890"/>
      <sheetName val="ASSETS 11XXX"/>
      <sheetName val="ACC DEP 12XXX"/>
      <sheetName val="GOODWILL_15120"/>
      <sheetName val="Rollfwd_15450"/>
      <sheetName val="15450_92 bond"/>
      <sheetName val="15450_94 Bond "/>
      <sheetName val="Recon_15450"/>
      <sheetName val="Rollfwd_15320_15500"/>
      <sheetName val="16100_Rollfwd"/>
      <sheetName val="A180543"/>
      <sheetName val="A20110"/>
      <sheetName val="Rollfwd_20120"/>
      <sheetName val="Recon_20120"/>
      <sheetName val="Recon_20130"/>
      <sheetName val="Recon_20133"/>
      <sheetName val="Recon_20135"/>
      <sheetName val="Recon_20137"/>
      <sheetName val="A20140"/>
      <sheetName val="SALES TAX RETURN_20140"/>
      <sheetName val="Rollfwd_20170"/>
      <sheetName val="Recon_20170"/>
      <sheetName val="Recon_20175"/>
      <sheetName val="Recon_20177"/>
      <sheetName val="Detail_20320"/>
      <sheetName val="Rollfwd_20325"/>
      <sheetName val="Recon_20325"/>
      <sheetName val="A20330"/>
      <sheetName val="RECON 20335"/>
      <sheetName val="RECON_20340"/>
      <sheetName val="DETAILED 20360"/>
      <sheetName val="recon 20365"/>
      <sheetName val="recon 20375"/>
      <sheetName val="A21100 &amp; A21250"/>
      <sheetName val="21250_92 Bond"/>
      <sheetName val="21250_94 Bond"/>
      <sheetName val="21250_R. Vaccarezza"/>
      <sheetName val="21250_BOND DIS AMORT"/>
      <sheetName val="A21390"/>
      <sheetName val="Recon 22104"/>
      <sheetName val="Recon 22105"/>
      <sheetName val="Recon 22109"/>
      <sheetName val="Recon 22205 "/>
      <sheetName val="Recon 22206"/>
      <sheetName val="Recon_30XXXX"/>
      <sheetName val="Recon 150543 Revised"/>
      <sheetName val="170001 DL 121999"/>
      <sheetName val="Rollfwd_170001"/>
      <sheetName val="A170001"/>
      <sheetName val="Rollfwd_170050"/>
      <sheetName val="A170050"/>
      <sheetName val="Rollfwd_171170"/>
      <sheetName val="A171170"/>
      <sheetName val="Rollfwd_171500"/>
      <sheetName val="A171500"/>
      <sheetName val="A171504"/>
      <sheetName val="A171531"/>
      <sheetName val="A172216"/>
      <sheetName val="A172220"/>
      <sheetName val="A172355"/>
      <sheetName val="Dec_99 DL_RAW"/>
      <sheetName val="Dec_99 DL_"/>
      <sheetName val="DEC_98 DL RAW"/>
      <sheetName val="DEC_98 DL "/>
      <sheetName val="Sheet4"/>
      <sheetName val="Sheet4 (2)"/>
      <sheetName val="XXXXXX"/>
      <sheetName val="BU NAMES"/>
      <sheetName val="PS BS ACCOUN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"/>
      <sheetName val="Instructions"/>
      <sheetName val="User"/>
      <sheetName val="Settings"/>
      <sheetName val="Orientation"/>
      <sheetName val="Delivery"/>
      <sheetName val="RptClose"/>
      <sheetName val="Hidd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ss A IS"/>
      <sheetName val="2183 IS"/>
      <sheetName val="2184 IS"/>
      <sheetName val="2185 IS"/>
      <sheetName val="Consolidated IS"/>
      <sheetName val="Ratios Thurston"/>
      <sheetName val="2183 Pro forma"/>
      <sheetName val="2183 Ratios"/>
      <sheetName val="Restating Expl"/>
      <sheetName val="Pro forma Expl"/>
      <sheetName val="Pacific Regulated - Price Out"/>
      <sheetName val="Total Matrix"/>
      <sheetName val="Packer_RO Matrix"/>
      <sheetName val="COS Packer_RO"/>
      <sheetName val="Res YW Matix"/>
      <sheetName val="Res Recy Matrix"/>
      <sheetName val="MF Recy Matrix"/>
      <sheetName val="COS RR YW MFR"/>
      <sheetName val="Total Pac,Rural"/>
      <sheetName val="Rural"/>
      <sheetName val="LG-Pacific Pckr Rts"/>
      <sheetName val="LG-RO"/>
      <sheetName val="Res Recycl"/>
      <sheetName val="MF Recycl"/>
      <sheetName val="YW"/>
      <sheetName val="Depr Summary 2183"/>
      <sheetName val="Trucks 2183"/>
      <sheetName val="Containers 2183"/>
      <sheetName val="OTHER EQUIP 2183"/>
      <sheetName val="LeMay Global"/>
      <sheetName val="Fuel"/>
      <sheetName val="DF Schedule"/>
      <sheetName val="2183 Payroll"/>
      <sheetName val="2184 Payroll"/>
      <sheetName val="2185 Payroll"/>
      <sheetName val="Cust Cnt"/>
      <sheetName val="Unit Cnt"/>
      <sheetName val="70148 Summary"/>
      <sheetName val="Time Study"/>
      <sheetName val="Corp OH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49">
          <cell r="M49">
            <v>8000432.4617248299</v>
          </cell>
        </row>
        <row r="50">
          <cell r="F50">
            <v>8158680.0299999993</v>
          </cell>
        </row>
        <row r="58">
          <cell r="M58">
            <v>2625393.5068796892</v>
          </cell>
        </row>
        <row r="59">
          <cell r="F59">
            <v>2119461.4499999997</v>
          </cell>
        </row>
        <row r="69">
          <cell r="M69">
            <v>1361744.4391882615</v>
          </cell>
        </row>
        <row r="70">
          <cell r="F70">
            <v>1347163.92</v>
          </cell>
        </row>
        <row r="213">
          <cell r="M213">
            <v>4757117.5866496488</v>
          </cell>
        </row>
        <row r="214">
          <cell r="F214">
            <v>4859462.2200000007</v>
          </cell>
        </row>
        <row r="221">
          <cell r="M221">
            <v>395543.82663328515</v>
          </cell>
        </row>
        <row r="222">
          <cell r="F222">
            <v>332798.89999999997</v>
          </cell>
        </row>
        <row r="281">
          <cell r="M281">
            <v>1187221.5155152699</v>
          </cell>
        </row>
        <row r="282">
          <cell r="F282">
            <v>744277.47999999975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riff Rate Sheet"/>
      <sheetName val="Class A IS"/>
      <sheetName val="2149 BS"/>
      <sheetName val="9-30-11 BS"/>
      <sheetName val="2149 IS"/>
      <sheetName val="Consolidated IS"/>
      <sheetName val="Ratios"/>
      <sheetName val="Restating Adj"/>
      <sheetName val="Restating Expl"/>
      <sheetName val="Pro forma Adj"/>
      <sheetName val="Pro-forma"/>
      <sheetName val="LG-Combined"/>
      <sheetName val="LG-Pckr,RO"/>
      <sheetName val="LG-Recycl"/>
      <sheetName val="Price Out"/>
      <sheetName val="Rate Sheet"/>
      <sheetName val="Pckr, RO, Matrix"/>
      <sheetName val="COS Packer,RO "/>
      <sheetName val="Recycl Matrix"/>
      <sheetName val="COS Recycle"/>
      <sheetName val="Disposal Calc"/>
      <sheetName val="Disposal Schedule"/>
      <sheetName val="Fuel"/>
      <sheetName val="PR Summary"/>
      <sheetName val="Depr Summary"/>
      <sheetName val="Depreciation"/>
      <sheetName val="Cust Count"/>
      <sheetName val="Rt Study Summary"/>
      <sheetName val="Recycl Tons, Commodity Value"/>
      <sheetName val="Tribal Cnts"/>
      <sheetName val="Corp OH"/>
      <sheetName val="Corp Debt Equity"/>
      <sheetName val="Balance Sheet"/>
      <sheetName val="P&amp;L"/>
      <sheetName val="70195 JE-WRRA Dues"/>
      <sheetName val="56095 JE"/>
      <sheetName val="Non-Reg Price Out"/>
      <sheetName val="30% Commodity Justification"/>
      <sheetName val="TRC Processing Justfication"/>
      <sheetName val="Orig Price Out"/>
      <sheetName val="Rate Sheet Dec 2012"/>
      <sheetName val="Orig COS Packer,RO "/>
      <sheetName val="LG-Pckr w DF"/>
      <sheetName val="LG-Pckr w-out DF"/>
      <sheetName val="LG-RO"/>
    </sheetNames>
    <sheetDataSet>
      <sheetData sheetId="0">
        <row r="107">
          <cell r="L107">
            <v>1755086.2007667283</v>
          </cell>
        </row>
        <row r="214">
          <cell r="L214">
            <v>861493.18580596044</v>
          </cell>
        </row>
        <row r="278">
          <cell r="L278">
            <v>840474.49671344017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23">
          <cell r="L23">
            <v>2329.3388396454475</v>
          </cell>
        </row>
      </sheetData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rorNote"/>
      <sheetName val="ControlPanel"/>
      <sheetName val="PL_ActReview"/>
      <sheetName val="BS_Close"/>
      <sheetName val="PL_ActTranx"/>
      <sheetName val="JE_Review"/>
      <sheetName val="PL_CloseByDay"/>
      <sheetName val="PL_IS200"/>
      <sheetName val="PL_IS210"/>
      <sheetName val="PL_ActByDistrict"/>
      <sheetName val="PL_ProjReview"/>
    </sheetNames>
    <sheetDataSet>
      <sheetData sheetId="0"/>
      <sheetData sheetId="1" refreshError="1">
        <row r="2">
          <cell r="X2" t="str">
            <v>P&amp;L Close Report</v>
          </cell>
          <cell r="Z2" t="str">
            <v>Consolidated</v>
          </cell>
        </row>
        <row r="3">
          <cell r="X3" t="str">
            <v>BS Close Report</v>
          </cell>
          <cell r="Z3" t="str">
            <v>Region</v>
          </cell>
        </row>
        <row r="4">
          <cell r="X4" t="str">
            <v>P&amp;L Tranx Report</v>
          </cell>
          <cell r="Z4" t="str">
            <v>District</v>
          </cell>
        </row>
        <row r="5">
          <cell r="X5" t="str">
            <v>P&amp;L Close by Day</v>
          </cell>
          <cell r="Z5" t="str">
            <v>Multiple Districts</v>
          </cell>
        </row>
        <row r="6">
          <cell r="X6" t="str">
            <v>JE Review Report</v>
          </cell>
        </row>
        <row r="7">
          <cell r="X7" t="str">
            <v>IS200 Report</v>
          </cell>
        </row>
        <row r="8">
          <cell r="X8" t="str">
            <v>IS210 Report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5 BS"/>
      <sheetName val="2025 IS"/>
      <sheetName val="Consolidated IS"/>
      <sheetName val="Pro-forma"/>
      <sheetName val="Restating Adj"/>
      <sheetName val="Restating Expl"/>
      <sheetName val="Pro Forma Adj"/>
      <sheetName val="Ratios"/>
      <sheetName val="LG"/>
      <sheetName val="LG G-48"/>
      <sheetName val="LG G-51"/>
      <sheetName val="G-48 Price Out"/>
      <sheetName val="G-51 Price Out"/>
      <sheetName val="Rate Schedule G-48"/>
      <sheetName val="References"/>
      <sheetName val="G-48 DF Calc"/>
      <sheetName val="DF Schedule"/>
      <sheetName val="Depr Summary"/>
      <sheetName val="Depreciation"/>
      <sheetName val="Payroll Detail"/>
      <sheetName val="DivCon-DVP Alloc In"/>
      <sheetName val="Corp-OH"/>
      <sheetName val="Region OH Calc"/>
      <sheetName val="Corp-BS"/>
      <sheetName val="Corp-IS"/>
      <sheetName val="38000 Other Rev"/>
      <sheetName val="2025 BS 3-31-2015"/>
    </sheetNames>
    <sheetDataSet>
      <sheetData sheetId="0"/>
      <sheetData sheetId="1"/>
      <sheetData sheetId="2"/>
      <sheetData sheetId="3" refreshError="1"/>
      <sheetData sheetId="4"/>
      <sheetData sheetId="5">
        <row r="78">
          <cell r="D78">
            <v>13340.018881532844</v>
          </cell>
        </row>
      </sheetData>
      <sheetData sheetId="6">
        <row r="27">
          <cell r="B27">
            <v>353.32367365298381</v>
          </cell>
        </row>
      </sheetData>
      <sheetData sheetId="7">
        <row r="13">
          <cell r="B13">
            <v>0.89361089902323576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>
        <row r="60">
          <cell r="C60">
            <v>178633.12500000003</v>
          </cell>
        </row>
      </sheetData>
      <sheetData sheetId="17">
        <row r="1">
          <cell r="A1" t="str">
            <v>Columbia River Disposal, Inc. G-48/G-51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6">
          <cell r="D6">
            <v>10000</v>
          </cell>
        </row>
        <row r="8">
          <cell r="H8" t="str">
            <v>2016-06</v>
          </cell>
        </row>
        <row r="12">
          <cell r="G12" t="str">
            <v>2015-04</v>
          </cell>
        </row>
        <row r="13">
          <cell r="G13" t="str">
            <v>2016-03</v>
          </cell>
        </row>
      </sheetData>
      <sheetData sheetId="2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okup Tables"/>
      <sheetName val="Data"/>
      <sheetName val="By Division"/>
      <sheetName val="&quot;Invioced&quot;"/>
      <sheetName val="Invoice_Drill"/>
      <sheetName val="PO_Drill"/>
      <sheetName val="District-Division Listing"/>
    </sheetNames>
    <sheetDataSet>
      <sheetData sheetId="0">
        <row r="1">
          <cell r="A1" t="str">
            <v>All</v>
          </cell>
        </row>
        <row r="2">
          <cell r="A2" t="str">
            <v>2008-01</v>
          </cell>
        </row>
        <row r="3">
          <cell r="A3" t="str">
            <v>2008-02</v>
          </cell>
        </row>
        <row r="4">
          <cell r="A4" t="str">
            <v>2008-03</v>
          </cell>
        </row>
        <row r="5">
          <cell r="A5" t="str">
            <v>2008-04</v>
          </cell>
        </row>
        <row r="6">
          <cell r="A6" t="str">
            <v>2008-05</v>
          </cell>
        </row>
        <row r="7">
          <cell r="A7" t="str">
            <v>2008-06</v>
          </cell>
        </row>
        <row r="8">
          <cell r="A8" t="str">
            <v>2008-07</v>
          </cell>
        </row>
        <row r="9">
          <cell r="A9" t="str">
            <v>2008-08</v>
          </cell>
        </row>
        <row r="10">
          <cell r="A10" t="str">
            <v>2008-09</v>
          </cell>
        </row>
        <row r="11">
          <cell r="A11" t="str">
            <v>2008-10</v>
          </cell>
        </row>
        <row r="12">
          <cell r="A12" t="str">
            <v>2008-11</v>
          </cell>
        </row>
        <row r="13">
          <cell r="A13" t="str">
            <v>2008-12</v>
          </cell>
        </row>
      </sheetData>
      <sheetData sheetId="1">
        <row r="3">
          <cell r="E3" t="str">
            <v>Western</v>
          </cell>
        </row>
      </sheetData>
      <sheetData sheetId="2" refreshError="1"/>
      <sheetData sheetId="3" refreshError="1"/>
      <sheetData sheetId="4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8"/>
  <sheetViews>
    <sheetView tabSelected="1" zoomScale="85" zoomScaleNormal="85" workbookViewId="0"/>
  </sheetViews>
  <sheetFormatPr defaultRowHeight="15"/>
  <cols>
    <col min="1" max="1" width="36.28515625" style="18" bestFit="1" customWidth="1"/>
    <col min="2" max="2" width="19.42578125" style="18" customWidth="1"/>
    <col min="3" max="3" width="11" style="18" bestFit="1" customWidth="1"/>
    <col min="4" max="4" width="10.5703125" style="18" bestFit="1" customWidth="1"/>
    <col min="5" max="5" width="7" style="18" bestFit="1" customWidth="1"/>
    <col min="6" max="6" width="11.42578125" style="18" bestFit="1" customWidth="1"/>
    <col min="7" max="7" width="10" style="18" bestFit="1" customWidth="1"/>
    <col min="8" max="8" width="8" style="18" bestFit="1" customWidth="1"/>
    <col min="9" max="9" width="15.85546875" style="18" bestFit="1" customWidth="1"/>
    <col min="10" max="10" width="12" style="18" bestFit="1" customWidth="1"/>
    <col min="11" max="16384" width="9.140625" style="18"/>
  </cols>
  <sheetData>
    <row r="1" spans="1:8">
      <c r="A1" s="55" t="s">
        <v>535</v>
      </c>
      <c r="B1" s="56"/>
      <c r="C1" s="54"/>
      <c r="D1" s="54"/>
      <c r="E1" s="54"/>
      <c r="F1" s="54"/>
      <c r="G1" s="54"/>
      <c r="H1" s="54"/>
    </row>
    <row r="2" spans="1:8">
      <c r="A2" s="55" t="s">
        <v>536</v>
      </c>
      <c r="B2" s="56"/>
      <c r="C2" s="54"/>
      <c r="D2" s="54"/>
      <c r="E2" s="54"/>
      <c r="F2" s="54"/>
      <c r="G2" s="54"/>
      <c r="H2" s="54"/>
    </row>
    <row r="3" spans="1:8">
      <c r="A3" s="55" t="s">
        <v>537</v>
      </c>
      <c r="B3" s="56"/>
      <c r="C3" s="54"/>
      <c r="D3" s="54"/>
      <c r="E3" s="54"/>
      <c r="F3" s="54"/>
      <c r="G3" s="54"/>
      <c r="H3" s="54"/>
    </row>
    <row r="4" spans="1:8">
      <c r="A4" s="214"/>
      <c r="B4" s="214"/>
      <c r="C4" s="214"/>
      <c r="D4" s="214"/>
      <c r="E4" s="214"/>
      <c r="F4" s="214"/>
      <c r="G4" s="214"/>
      <c r="H4" s="214"/>
    </row>
    <row r="5" spans="1:8">
      <c r="A5" s="212" t="s">
        <v>17</v>
      </c>
      <c r="B5" s="212"/>
      <c r="C5" s="212"/>
      <c r="D5" s="212"/>
      <c r="E5" s="212"/>
      <c r="F5" s="212"/>
      <c r="G5" s="212"/>
      <c r="H5" s="212"/>
    </row>
    <row r="6" spans="1:8">
      <c r="A6" s="18" t="s">
        <v>56</v>
      </c>
      <c r="B6" s="9" t="s">
        <v>43</v>
      </c>
      <c r="C6" s="9" t="s">
        <v>44</v>
      </c>
      <c r="D6" s="9" t="s">
        <v>45</v>
      </c>
      <c r="E6" s="10" t="s">
        <v>47</v>
      </c>
      <c r="F6" s="10" t="s">
        <v>48</v>
      </c>
      <c r="G6" s="10" t="s">
        <v>49</v>
      </c>
      <c r="H6" s="9" t="s">
        <v>52</v>
      </c>
    </row>
    <row r="7" spans="1:8">
      <c r="A7" s="18" t="s">
        <v>53</v>
      </c>
      <c r="B7" s="1">
        <f>52*5/12</f>
        <v>21.666666666666668</v>
      </c>
      <c r="C7" s="11">
        <f>$B$7*2</f>
        <v>43.333333333333336</v>
      </c>
      <c r="D7" s="11">
        <f>$B$7*3</f>
        <v>65</v>
      </c>
      <c r="E7" s="11">
        <f>$B$7*4</f>
        <v>86.666666666666671</v>
      </c>
      <c r="F7" s="11">
        <f>$B$7*5</f>
        <v>108.33333333333334</v>
      </c>
      <c r="G7" s="11">
        <f>$B$7*6</f>
        <v>130</v>
      </c>
      <c r="H7" s="11">
        <f>$B$7*7</f>
        <v>151.66666666666669</v>
      </c>
    </row>
    <row r="8" spans="1:8">
      <c r="A8" s="18" t="s">
        <v>88</v>
      </c>
      <c r="B8" s="1">
        <f>52*4/12</f>
        <v>17.333333333333332</v>
      </c>
      <c r="C8" s="11">
        <f>$B$8*2</f>
        <v>34.666666666666664</v>
      </c>
      <c r="D8" s="11">
        <f>$B$8*3</f>
        <v>52</v>
      </c>
      <c r="E8" s="11">
        <f>$B$8*4</f>
        <v>69.333333333333329</v>
      </c>
      <c r="F8" s="11">
        <f>$B$8*5</f>
        <v>86.666666666666657</v>
      </c>
      <c r="G8" s="11">
        <f>$B$8*6</f>
        <v>104</v>
      </c>
      <c r="H8" s="11">
        <f>$B$8*7</f>
        <v>121.33333333333333</v>
      </c>
    </row>
    <row r="9" spans="1:8">
      <c r="A9" s="18" t="s">
        <v>54</v>
      </c>
      <c r="B9" s="1">
        <f>52*3/12</f>
        <v>13</v>
      </c>
      <c r="C9" s="11">
        <f>$B$9*2</f>
        <v>26</v>
      </c>
      <c r="D9" s="11">
        <f>$B$9*3</f>
        <v>39</v>
      </c>
      <c r="E9" s="11">
        <f>$B$9*4</f>
        <v>52</v>
      </c>
      <c r="F9" s="11">
        <f>$B$9*5</f>
        <v>65</v>
      </c>
      <c r="G9" s="11">
        <f>$B$9*6</f>
        <v>78</v>
      </c>
      <c r="H9" s="11">
        <f>$B$9*7</f>
        <v>91</v>
      </c>
    </row>
    <row r="10" spans="1:8">
      <c r="A10" s="18" t="s">
        <v>55</v>
      </c>
      <c r="B10" s="1">
        <f>52*2/12</f>
        <v>8.6666666666666661</v>
      </c>
      <c r="C10" s="22">
        <f>$B$10*2</f>
        <v>17.333333333333332</v>
      </c>
      <c r="D10" s="22">
        <f>$B$10*3</f>
        <v>26</v>
      </c>
      <c r="E10" s="22">
        <f>$B$10*4</f>
        <v>34.666666666666664</v>
      </c>
      <c r="F10" s="22">
        <f>$B$10*5</f>
        <v>43.333333333333329</v>
      </c>
      <c r="G10" s="22">
        <f>$B$10*6</f>
        <v>52</v>
      </c>
      <c r="H10" s="22">
        <f>$B$10*7</f>
        <v>60.666666666666664</v>
      </c>
    </row>
    <row r="11" spans="1:8">
      <c r="A11" s="18" t="s">
        <v>20</v>
      </c>
      <c r="B11" s="1">
        <f>52/12</f>
        <v>4.333333333333333</v>
      </c>
      <c r="C11" s="22">
        <f>$B$11*2</f>
        <v>8.6666666666666661</v>
      </c>
      <c r="D11" s="22">
        <f>$B$11*3</f>
        <v>13</v>
      </c>
      <c r="E11" s="22">
        <f>$B$11*4</f>
        <v>17.333333333333332</v>
      </c>
      <c r="F11" s="22">
        <f>$B$11*5</f>
        <v>21.666666666666664</v>
      </c>
      <c r="G11" s="22">
        <f>$B$11*6</f>
        <v>26</v>
      </c>
      <c r="H11" s="22">
        <f>$B$11*7</f>
        <v>30.333333333333332</v>
      </c>
    </row>
    <row r="12" spans="1:8">
      <c r="A12" s="18" t="s">
        <v>22</v>
      </c>
      <c r="B12" s="1">
        <f>26/12</f>
        <v>2.1666666666666665</v>
      </c>
      <c r="C12" s="22">
        <f>$B$12*2</f>
        <v>4.333333333333333</v>
      </c>
      <c r="D12" s="22">
        <f>$B$12*3</f>
        <v>6.5</v>
      </c>
      <c r="E12" s="22">
        <f>$B$12*4</f>
        <v>8.6666666666666661</v>
      </c>
      <c r="F12" s="22">
        <f>$B$12*5</f>
        <v>10.833333333333332</v>
      </c>
      <c r="G12" s="22">
        <f>$B$12*6</f>
        <v>13</v>
      </c>
      <c r="H12" s="22">
        <f>$B$12*7</f>
        <v>15.166666666666666</v>
      </c>
    </row>
    <row r="13" spans="1:8">
      <c r="A13" s="18" t="s">
        <v>21</v>
      </c>
      <c r="B13" s="1">
        <f>12/12</f>
        <v>1</v>
      </c>
      <c r="C13" s="22">
        <f>$B$13*2</f>
        <v>2</v>
      </c>
      <c r="D13" s="22">
        <f>$B$13*3</f>
        <v>3</v>
      </c>
      <c r="E13" s="22">
        <f>$B$13*4</f>
        <v>4</v>
      </c>
      <c r="F13" s="22">
        <f>$B$13*5</f>
        <v>5</v>
      </c>
      <c r="G13" s="22">
        <f>$B$13*6</f>
        <v>6</v>
      </c>
      <c r="H13" s="22">
        <f>$B$13*7</f>
        <v>7</v>
      </c>
    </row>
    <row r="14" spans="1:8">
      <c r="B14" s="1"/>
      <c r="C14" s="22"/>
      <c r="D14" s="22"/>
      <c r="E14" s="22"/>
      <c r="F14" s="22"/>
      <c r="G14" s="22"/>
      <c r="H14" s="22"/>
    </row>
    <row r="15" spans="1:8">
      <c r="A15" s="212" t="s">
        <v>9</v>
      </c>
      <c r="B15" s="212"/>
      <c r="C15" s="22"/>
      <c r="D15" s="22"/>
      <c r="E15" s="22"/>
      <c r="F15" s="22"/>
      <c r="G15" s="22"/>
      <c r="H15" s="22"/>
    </row>
    <row r="16" spans="1:8">
      <c r="A16" s="19" t="s">
        <v>51</v>
      </c>
      <c r="B16" s="20" t="s">
        <v>81</v>
      </c>
      <c r="C16" s="22"/>
      <c r="D16" s="22"/>
      <c r="E16" s="22"/>
      <c r="F16" s="22"/>
      <c r="G16" s="22"/>
      <c r="H16" s="22"/>
    </row>
    <row r="17" spans="1:8">
      <c r="A17" s="23" t="s">
        <v>82</v>
      </c>
      <c r="B17" s="21">
        <v>20</v>
      </c>
      <c r="C17" s="22"/>
      <c r="D17" s="22"/>
      <c r="E17" s="22"/>
      <c r="F17" s="22"/>
      <c r="G17" s="22"/>
      <c r="H17" s="22"/>
    </row>
    <row r="18" spans="1:8">
      <c r="A18" s="23" t="s">
        <v>57</v>
      </c>
      <c r="B18" s="21">
        <v>34</v>
      </c>
      <c r="C18" s="22"/>
      <c r="D18" s="22"/>
      <c r="E18" s="22"/>
      <c r="F18" s="22"/>
      <c r="G18" s="22"/>
      <c r="H18" s="22"/>
    </row>
    <row r="19" spans="1:8">
      <c r="A19" s="23" t="s">
        <v>58</v>
      </c>
      <c r="B19" s="21">
        <v>51</v>
      </c>
      <c r="C19" s="22"/>
      <c r="D19" s="22"/>
      <c r="E19" s="22"/>
      <c r="F19" s="22"/>
      <c r="G19" s="22"/>
      <c r="H19" s="22"/>
    </row>
    <row r="20" spans="1:8">
      <c r="A20" s="23" t="s">
        <v>59</v>
      </c>
      <c r="B20" s="21">
        <v>77</v>
      </c>
      <c r="C20" s="22"/>
      <c r="D20" s="22"/>
      <c r="E20" s="22"/>
      <c r="F20" s="18" t="s">
        <v>18</v>
      </c>
      <c r="G20" s="21">
        <v>2000</v>
      </c>
      <c r="H20" s="22"/>
    </row>
    <row r="21" spans="1:8">
      <c r="A21" s="23" t="s">
        <v>60</v>
      </c>
      <c r="B21" s="21">
        <v>97</v>
      </c>
      <c r="C21" s="22"/>
      <c r="D21" s="22"/>
      <c r="E21" s="22"/>
      <c r="F21" s="18" t="s">
        <v>19</v>
      </c>
      <c r="G21" s="12" t="s">
        <v>46</v>
      </c>
      <c r="H21" s="22"/>
    </row>
    <row r="22" spans="1:8">
      <c r="A22" s="23" t="s">
        <v>61</v>
      </c>
      <c r="B22" s="21">
        <v>117</v>
      </c>
      <c r="C22" s="22"/>
      <c r="D22" s="22"/>
      <c r="E22" s="22"/>
      <c r="H22" s="22"/>
    </row>
    <row r="23" spans="1:8">
      <c r="A23" s="23" t="s">
        <v>62</v>
      </c>
      <c r="B23" s="21">
        <v>157</v>
      </c>
      <c r="C23" s="22"/>
      <c r="D23" s="22"/>
      <c r="E23" s="22"/>
      <c r="F23" s="7"/>
      <c r="G23" s="8"/>
      <c r="H23" s="22"/>
    </row>
    <row r="24" spans="1:8">
      <c r="A24" s="23" t="s">
        <v>93</v>
      </c>
      <c r="B24" s="21">
        <v>37</v>
      </c>
      <c r="C24" s="22" t="s">
        <v>83</v>
      </c>
      <c r="D24" s="22"/>
      <c r="E24" s="22"/>
      <c r="F24" s="7"/>
      <c r="G24" s="8"/>
      <c r="H24" s="22"/>
    </row>
    <row r="25" spans="1:8">
      <c r="A25" s="23" t="s">
        <v>63</v>
      </c>
      <c r="B25" s="21">
        <v>47</v>
      </c>
      <c r="C25" s="22"/>
      <c r="D25" s="22"/>
      <c r="E25" s="22"/>
      <c r="F25" s="22"/>
      <c r="G25" s="22"/>
      <c r="H25" s="22"/>
    </row>
    <row r="26" spans="1:8">
      <c r="A26" s="23" t="s">
        <v>64</v>
      </c>
      <c r="B26" s="21">
        <v>68</v>
      </c>
      <c r="C26" s="22"/>
      <c r="D26" s="22"/>
      <c r="E26" s="22"/>
      <c r="F26" s="22"/>
      <c r="G26" s="22"/>
      <c r="H26" s="22"/>
    </row>
    <row r="27" spans="1:8">
      <c r="A27" s="23" t="s">
        <v>65</v>
      </c>
      <c r="B27" s="21">
        <v>34</v>
      </c>
      <c r="C27" s="22"/>
      <c r="D27" s="22"/>
      <c r="E27" s="22"/>
      <c r="F27" s="22"/>
      <c r="G27" s="22"/>
      <c r="H27" s="22"/>
    </row>
    <row r="28" spans="1:8">
      <c r="A28" s="23" t="s">
        <v>30</v>
      </c>
      <c r="B28" s="21">
        <v>34</v>
      </c>
      <c r="C28" s="22"/>
      <c r="D28" s="22"/>
      <c r="E28" s="22"/>
      <c r="F28" s="22"/>
      <c r="G28" s="22"/>
      <c r="H28" s="22"/>
    </row>
    <row r="29" spans="1:8">
      <c r="A29" s="19" t="s">
        <v>66</v>
      </c>
      <c r="B29" s="21"/>
      <c r="C29" s="22"/>
      <c r="D29" s="22"/>
      <c r="E29" s="22"/>
      <c r="F29" s="22"/>
      <c r="G29" s="22"/>
      <c r="H29" s="22"/>
    </row>
    <row r="30" spans="1:8">
      <c r="A30" s="23" t="s">
        <v>67</v>
      </c>
      <c r="B30" s="21">
        <v>29</v>
      </c>
      <c r="C30" s="22"/>
      <c r="D30" s="22"/>
      <c r="E30" s="22"/>
      <c r="F30" s="22"/>
      <c r="G30" s="22"/>
      <c r="H30" s="22"/>
    </row>
    <row r="31" spans="1:8">
      <c r="A31" s="23" t="s">
        <v>68</v>
      </c>
      <c r="B31" s="21">
        <v>175</v>
      </c>
      <c r="C31" s="22"/>
      <c r="D31" s="22"/>
      <c r="E31" s="22"/>
      <c r="F31" s="22"/>
      <c r="G31" s="22"/>
      <c r="H31" s="22"/>
    </row>
    <row r="32" spans="1:8">
      <c r="A32" s="23" t="s">
        <v>69</v>
      </c>
      <c r="B32" s="21">
        <v>250</v>
      </c>
      <c r="C32" s="22"/>
      <c r="D32" s="22"/>
      <c r="E32" s="22"/>
      <c r="F32" s="22"/>
      <c r="G32" s="22"/>
      <c r="H32" s="22"/>
    </row>
    <row r="33" spans="1:8">
      <c r="A33" s="23" t="s">
        <v>70</v>
      </c>
      <c r="B33" s="21">
        <v>324</v>
      </c>
      <c r="C33" s="22"/>
      <c r="D33" s="22"/>
      <c r="E33" s="22"/>
      <c r="F33" s="22"/>
      <c r="G33" s="22"/>
      <c r="H33" s="22"/>
    </row>
    <row r="34" spans="1:8">
      <c r="A34" s="23" t="s">
        <v>71</v>
      </c>
      <c r="B34" s="21">
        <v>473</v>
      </c>
      <c r="C34" s="22"/>
      <c r="D34" s="22"/>
      <c r="E34" s="22"/>
      <c r="F34" s="22"/>
      <c r="G34" s="22"/>
      <c r="H34" s="22"/>
    </row>
    <row r="35" spans="1:8">
      <c r="A35" s="23" t="s">
        <v>72</v>
      </c>
      <c r="B35" s="21">
        <v>613</v>
      </c>
      <c r="C35" s="22"/>
      <c r="D35" s="22"/>
      <c r="E35" s="22"/>
      <c r="F35" s="22"/>
      <c r="G35" s="22"/>
      <c r="H35" s="22"/>
    </row>
    <row r="36" spans="1:8">
      <c r="A36" s="23" t="s">
        <v>73</v>
      </c>
      <c r="B36" s="21">
        <v>840</v>
      </c>
      <c r="C36" s="22"/>
      <c r="D36" s="22"/>
      <c r="E36" s="22"/>
      <c r="F36" s="22"/>
      <c r="G36" s="22"/>
      <c r="H36" s="22"/>
    </row>
    <row r="37" spans="1:8">
      <c r="A37" s="23" t="s">
        <v>74</v>
      </c>
      <c r="B37" s="21">
        <v>980</v>
      </c>
      <c r="C37" s="22"/>
      <c r="D37" s="22"/>
      <c r="E37" s="22"/>
      <c r="F37" s="22"/>
      <c r="G37" s="22"/>
      <c r="H37" s="22"/>
    </row>
    <row r="38" spans="1:8">
      <c r="A38" s="23" t="s">
        <v>89</v>
      </c>
      <c r="B38" s="21">
        <v>482</v>
      </c>
      <c r="C38" s="22" t="s">
        <v>83</v>
      </c>
      <c r="D38" s="22"/>
      <c r="E38" s="22"/>
      <c r="F38" s="22"/>
      <c r="G38" s="22"/>
      <c r="H38" s="22"/>
    </row>
    <row r="39" spans="1:8">
      <c r="A39" s="23" t="s">
        <v>90</v>
      </c>
      <c r="B39" s="21">
        <v>689</v>
      </c>
      <c r="C39" s="22" t="s">
        <v>83</v>
      </c>
      <c r="D39" s="22"/>
      <c r="E39" s="22"/>
      <c r="F39" s="22"/>
      <c r="G39" s="22"/>
      <c r="H39" s="22"/>
    </row>
    <row r="40" spans="1:8">
      <c r="A40" s="23" t="s">
        <v>76</v>
      </c>
      <c r="B40" s="21">
        <v>892</v>
      </c>
      <c r="C40" s="22" t="s">
        <v>83</v>
      </c>
      <c r="D40" s="22"/>
      <c r="E40" s="22"/>
      <c r="F40" s="22"/>
      <c r="G40" s="22"/>
      <c r="H40" s="22"/>
    </row>
    <row r="41" spans="1:8">
      <c r="A41" s="23" t="s">
        <v>75</v>
      </c>
      <c r="B41" s="21">
        <v>1301</v>
      </c>
      <c r="C41" s="22"/>
      <c r="D41" s="22"/>
      <c r="E41" s="22"/>
      <c r="F41" s="22"/>
      <c r="G41" s="22"/>
      <c r="H41" s="22"/>
    </row>
    <row r="42" spans="1:8">
      <c r="A42" s="23" t="s">
        <v>77</v>
      </c>
      <c r="B42" s="21">
        <v>1686</v>
      </c>
      <c r="C42" s="22"/>
      <c r="D42" s="22"/>
      <c r="E42" s="22"/>
      <c r="F42" s="22"/>
      <c r="G42" s="22"/>
      <c r="H42" s="22"/>
    </row>
    <row r="43" spans="1:8">
      <c r="A43" s="23" t="s">
        <v>78</v>
      </c>
      <c r="B43" s="21">
        <v>2046</v>
      </c>
      <c r="C43" s="22"/>
      <c r="D43" s="22"/>
      <c r="E43" s="22"/>
      <c r="F43" s="22"/>
      <c r="G43" s="22"/>
      <c r="H43" s="22"/>
    </row>
    <row r="44" spans="1:8">
      <c r="A44" s="23" t="s">
        <v>79</v>
      </c>
      <c r="B44" s="21">
        <v>2310</v>
      </c>
      <c r="C44" s="22"/>
      <c r="D44" s="22"/>
      <c r="E44" s="22"/>
      <c r="F44" s="22"/>
      <c r="G44" s="22"/>
      <c r="H44" s="22"/>
    </row>
    <row r="45" spans="1:8">
      <c r="A45" s="23" t="s">
        <v>91</v>
      </c>
      <c r="B45" s="21">
        <v>2800</v>
      </c>
      <c r="C45" s="22" t="s">
        <v>83</v>
      </c>
      <c r="D45" s="22"/>
      <c r="E45" s="22"/>
      <c r="F45" s="22"/>
      <c r="G45" s="22"/>
      <c r="H45" s="22"/>
    </row>
    <row r="46" spans="1:8">
      <c r="A46" s="23" t="s">
        <v>80</v>
      </c>
      <c r="B46" s="21">
        <v>125</v>
      </c>
      <c r="C46" s="22"/>
      <c r="D46" s="22"/>
      <c r="E46" s="22"/>
      <c r="F46" s="22"/>
      <c r="G46" s="22"/>
      <c r="H46" s="22"/>
    </row>
    <row r="47" spans="1:8">
      <c r="B47" s="30" t="s">
        <v>532</v>
      </c>
      <c r="C47" s="30"/>
      <c r="D47" s="30"/>
    </row>
    <row r="48" spans="1:8">
      <c r="B48" s="30"/>
      <c r="C48" s="30"/>
      <c r="D48" s="30"/>
    </row>
    <row r="49" spans="1:7">
      <c r="A49" s="23" t="s">
        <v>533</v>
      </c>
      <c r="B49" s="31">
        <v>2</v>
      </c>
    </row>
    <row r="50" spans="1:7">
      <c r="A50" s="23" t="s">
        <v>534</v>
      </c>
    </row>
    <row r="51" spans="1:7">
      <c r="A51" s="23"/>
    </row>
    <row r="52" spans="1:7">
      <c r="A52" s="25" t="s">
        <v>97</v>
      </c>
      <c r="B52" s="24" t="s">
        <v>4</v>
      </c>
      <c r="C52" s="24" t="s">
        <v>5</v>
      </c>
      <c r="F52" s="213" t="s">
        <v>25</v>
      </c>
      <c r="G52" s="213"/>
    </row>
    <row r="53" spans="1:7">
      <c r="A53" s="13" t="s">
        <v>6</v>
      </c>
      <c r="B53" s="198">
        <v>95.2</v>
      </c>
      <c r="C53" s="199">
        <f>B53/2000</f>
        <v>4.7600000000000003E-2</v>
      </c>
      <c r="F53" s="18" t="s">
        <v>26</v>
      </c>
      <c r="G53" s="3">
        <f>0.015</f>
        <v>1.4999999999999999E-2</v>
      </c>
    </row>
    <row r="54" spans="1:7">
      <c r="A54" s="13" t="s">
        <v>7</v>
      </c>
      <c r="B54" s="198">
        <v>96.73</v>
      </c>
      <c r="C54" s="200">
        <f>B54/2000</f>
        <v>4.8365000000000005E-2</v>
      </c>
      <c r="F54" s="18" t="s">
        <v>27</v>
      </c>
      <c r="G54" s="4">
        <f>0.004275</f>
        <v>4.2750000000000002E-3</v>
      </c>
    </row>
    <row r="55" spans="1:7">
      <c r="A55" s="23" t="s">
        <v>8</v>
      </c>
      <c r="B55" s="201">
        <f>B54-B53</f>
        <v>1.5300000000000011</v>
      </c>
      <c r="C55" s="202">
        <f>C54-C53</f>
        <v>7.6500000000000179E-4</v>
      </c>
      <c r="D55" s="32">
        <f>B55/B53</f>
        <v>1.6071428571428584E-2</v>
      </c>
      <c r="F55" s="18" t="s">
        <v>50</v>
      </c>
      <c r="G55" s="5">
        <v>0</v>
      </c>
    </row>
    <row r="56" spans="1:7">
      <c r="F56" s="18" t="s">
        <v>15</v>
      </c>
      <c r="G56" s="14">
        <f>SUM(G53:G55)</f>
        <v>1.9275E-2</v>
      </c>
    </row>
    <row r="57" spans="1:7">
      <c r="B57" s="17" t="str">
        <f>A52</f>
        <v>Grays Harbor County</v>
      </c>
    </row>
    <row r="58" spans="1:7">
      <c r="A58" s="133" t="s">
        <v>555</v>
      </c>
      <c r="B58" s="15">
        <f>B55</f>
        <v>1.5300000000000011</v>
      </c>
      <c r="F58" s="18" t="s">
        <v>28</v>
      </c>
      <c r="G58" s="16">
        <f>1-G56</f>
        <v>0.98072499999999996</v>
      </c>
    </row>
    <row r="59" spans="1:7">
      <c r="A59" s="130" t="s">
        <v>24</v>
      </c>
      <c r="B59" s="15">
        <f>B58/$G$58</f>
        <v>1.5600703561141005</v>
      </c>
      <c r="C59" s="15"/>
    </row>
    <row r="60" spans="1:7">
      <c r="A60" s="130" t="s">
        <v>23</v>
      </c>
      <c r="B60" s="6">
        <f>+'Disposal Schedule'!D35</f>
        <v>7511.1186212237617</v>
      </c>
    </row>
    <row r="61" spans="1:7">
      <c r="A61" s="131" t="s">
        <v>29</v>
      </c>
      <c r="B61" s="2">
        <f>B59*B60</f>
        <v>11717.873502227805</v>
      </c>
    </row>
    <row r="64" spans="1:7" ht="15.75" thickBot="1"/>
    <row r="65" spans="1:4">
      <c r="A65" s="26" t="s">
        <v>86</v>
      </c>
      <c r="B65" s="27" t="s">
        <v>84</v>
      </c>
      <c r="D65" s="15"/>
    </row>
    <row r="66" spans="1:4">
      <c r="A66" s="28" t="s">
        <v>85</v>
      </c>
      <c r="B66" s="29">
        <f>+'Gray''s DF Calc'!R140</f>
        <v>11717.873502227849</v>
      </c>
    </row>
    <row r="67" spans="1:4">
      <c r="A67" s="28" t="s">
        <v>11</v>
      </c>
      <c r="B67" s="29">
        <f>B66-B61</f>
        <v>4.3655745685100555E-11</v>
      </c>
    </row>
    <row r="68" spans="1:4" ht="15.75" thickBot="1">
      <c r="A68" s="33"/>
      <c r="B68" s="34"/>
    </row>
  </sheetData>
  <mergeCells count="4">
    <mergeCell ref="A5:H5"/>
    <mergeCell ref="F52:G52"/>
    <mergeCell ref="A15:B15"/>
    <mergeCell ref="A4:H4"/>
  </mergeCells>
  <pageMargins left="0.7" right="0.7" top="0.75" bottom="0.75" header="0.3" footer="0.3"/>
  <pageSetup scale="69" orientation="portrait" r:id="rId1"/>
  <headerFooter>
    <oddFooter>&amp;L&amp;8&amp;F - &amp;A&amp;R&amp;P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165"/>
  <sheetViews>
    <sheetView zoomScale="85" zoomScaleNormal="85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F3" sqref="F3"/>
    </sheetView>
  </sheetViews>
  <sheetFormatPr defaultRowHeight="15"/>
  <cols>
    <col min="1" max="1" width="4.140625" style="100" customWidth="1"/>
    <col min="2" max="2" width="7.7109375" style="139" customWidth="1"/>
    <col min="3" max="3" width="28" style="100" bestFit="1" customWidth="1"/>
    <col min="4" max="4" width="13" style="101" bestFit="1" customWidth="1"/>
    <col min="5" max="5" width="10.5703125" style="113" bestFit="1" customWidth="1"/>
    <col min="6" max="6" width="13.28515625" style="101" bestFit="1" customWidth="1"/>
    <col min="7" max="7" width="8.7109375" style="101" bestFit="1" customWidth="1"/>
    <col min="8" max="8" width="16.5703125" style="101" bestFit="1" customWidth="1"/>
    <col min="9" max="9" width="12" style="101" customWidth="1"/>
    <col min="10" max="12" width="10.85546875" style="115" bestFit="1" customWidth="1"/>
    <col min="13" max="13" width="12.5703125" style="115" bestFit="1" customWidth="1"/>
    <col min="14" max="14" width="10.5703125" style="115" bestFit="1" customWidth="1"/>
    <col min="15" max="15" width="10.42578125" style="115" bestFit="1" customWidth="1"/>
    <col min="16" max="16" width="16" style="115" customWidth="1"/>
    <col min="17" max="17" width="17.85546875" style="115" customWidth="1"/>
    <col min="18" max="18" width="15.5703125" style="115" bestFit="1" customWidth="1"/>
    <col min="19" max="19" width="14.28515625" style="115" bestFit="1" customWidth="1"/>
    <col min="20" max="20" width="13.140625" style="115" bestFit="1" customWidth="1"/>
    <col min="21" max="21" width="10.42578125" style="115" bestFit="1" customWidth="1"/>
    <col min="22" max="22" width="16.42578125" style="115" bestFit="1" customWidth="1"/>
    <col min="23" max="23" width="15.5703125" style="115" bestFit="1" customWidth="1"/>
    <col min="24" max="24" width="12.5703125" style="100" bestFit="1" customWidth="1"/>
    <col min="25" max="26" width="9.140625" style="100"/>
    <col min="27" max="31" width="9.140625" style="112"/>
    <col min="32" max="16384" width="9.140625" style="100"/>
  </cols>
  <sheetData>
    <row r="1" spans="1:24">
      <c r="A1" s="159" t="s">
        <v>535</v>
      </c>
    </row>
    <row r="2" spans="1:24">
      <c r="A2" s="159" t="s">
        <v>536</v>
      </c>
    </row>
    <row r="3" spans="1:24">
      <c r="A3" s="159" t="s">
        <v>561</v>
      </c>
    </row>
    <row r="4" spans="1:24">
      <c r="A4" s="160" t="s">
        <v>562</v>
      </c>
    </row>
    <row r="5" spans="1:24">
      <c r="A5" s="95" t="s">
        <v>563</v>
      </c>
    </row>
    <row r="6" spans="1:24" ht="45" customHeight="1">
      <c r="A6" s="158"/>
      <c r="B6" s="158" t="s">
        <v>14</v>
      </c>
      <c r="C6" s="158" t="s">
        <v>16</v>
      </c>
      <c r="D6" s="158" t="s">
        <v>39</v>
      </c>
      <c r="E6" s="158" t="s">
        <v>0</v>
      </c>
      <c r="F6" s="158" t="s">
        <v>564</v>
      </c>
      <c r="G6" s="158" t="s">
        <v>9</v>
      </c>
      <c r="H6" s="158" t="s">
        <v>33</v>
      </c>
      <c r="I6" s="158" t="s">
        <v>34</v>
      </c>
      <c r="J6" s="158" t="s">
        <v>8</v>
      </c>
      <c r="K6" s="158" t="s">
        <v>1</v>
      </c>
      <c r="L6" s="158" t="s">
        <v>40</v>
      </c>
      <c r="M6" s="158" t="s">
        <v>37</v>
      </c>
      <c r="N6" s="158" t="s">
        <v>565</v>
      </c>
      <c r="O6" s="158" t="s">
        <v>35</v>
      </c>
      <c r="P6" s="158" t="s">
        <v>38</v>
      </c>
      <c r="Q6" s="158" t="s">
        <v>36</v>
      </c>
      <c r="R6" s="158" t="s">
        <v>41</v>
      </c>
      <c r="S6" s="158" t="s">
        <v>566</v>
      </c>
      <c r="T6" s="158" t="s">
        <v>567</v>
      </c>
      <c r="U6" s="158" t="s">
        <v>42</v>
      </c>
      <c r="V6" s="158" t="s">
        <v>568</v>
      </c>
      <c r="W6" s="158" t="s">
        <v>569</v>
      </c>
    </row>
    <row r="7" spans="1:24" ht="15" customHeight="1">
      <c r="A7" s="215" t="s">
        <v>12</v>
      </c>
      <c r="B7" s="153">
        <v>20</v>
      </c>
      <c r="C7" s="100" t="s">
        <v>188</v>
      </c>
      <c r="D7" s="101">
        <f>+'Company Regulated Cust Count'!AC11</f>
        <v>144.51062537947783</v>
      </c>
      <c r="E7" s="113">
        <f>+References!B11</f>
        <v>4.333333333333333</v>
      </c>
      <c r="F7" s="101">
        <f>+D7*E7*12</f>
        <v>7514.5525197328461</v>
      </c>
      <c r="G7" s="101">
        <f>+References!B17</f>
        <v>20</v>
      </c>
      <c r="H7" s="101">
        <f>+F7*G7</f>
        <v>150291.05039465692</v>
      </c>
      <c r="I7" s="101">
        <f t="shared" ref="I7:I38" si="0">+H7*$D$165</f>
        <v>138767.8241806094</v>
      </c>
      <c r="J7" s="115">
        <f>+I7*References!$C$55</f>
        <v>106.15738549816643</v>
      </c>
      <c r="K7" s="115">
        <f>+J7/References!$G$58</f>
        <v>108.24378444331127</v>
      </c>
      <c r="L7" s="115">
        <f>+K7/F7*E7</f>
        <v>6.2419737971440042E-2</v>
      </c>
      <c r="M7" s="115">
        <f>+'Proposed Rates'!B28</f>
        <v>11.06</v>
      </c>
      <c r="N7" s="115">
        <f>+L7+M7</f>
        <v>11.122419737971441</v>
      </c>
      <c r="O7" s="115">
        <f>+'Proposed Rates'!D28</f>
        <v>11.122419737971441</v>
      </c>
      <c r="P7" s="115">
        <f>+D7*M7*12</f>
        <v>19179.450200364299</v>
      </c>
      <c r="Q7" s="115">
        <f>+D7*O7*12</f>
        <v>19287.693984807611</v>
      </c>
      <c r="R7" s="115">
        <f>+Q7-P7</f>
        <v>108.2437844433116</v>
      </c>
      <c r="S7" s="115">
        <f>+D7*N7*12</f>
        <v>19287.693984807611</v>
      </c>
      <c r="T7" s="115">
        <f>+Q7-S7</f>
        <v>0</v>
      </c>
      <c r="U7" s="114">
        <f>+N7</f>
        <v>11.122419737971441</v>
      </c>
      <c r="V7" s="114">
        <f>+D7*U7*12</f>
        <v>19287.693984807611</v>
      </c>
      <c r="W7" s="114">
        <f>+V7-P7</f>
        <v>108.2437844433116</v>
      </c>
      <c r="X7" s="209">
        <f>W7-K7</f>
        <v>3.2684965844964609E-13</v>
      </c>
    </row>
    <row r="8" spans="1:24">
      <c r="A8" s="216"/>
      <c r="B8" s="153">
        <v>20</v>
      </c>
      <c r="C8" s="100" t="s">
        <v>190</v>
      </c>
      <c r="D8" s="101">
        <f>+'Company Regulated Cust Count'!AC12</f>
        <v>23.979904982023626</v>
      </c>
      <c r="E8" s="113">
        <f>+References!B11</f>
        <v>4.333333333333333</v>
      </c>
      <c r="F8" s="101">
        <f t="shared" ref="F8:F61" si="1">+D8*E8*12</f>
        <v>1246.9550590652284</v>
      </c>
      <c r="G8" s="101">
        <f>+References!B17</f>
        <v>20</v>
      </c>
      <c r="H8" s="101">
        <f t="shared" ref="H8:H59" si="2">+F8*G8</f>
        <v>24939.10118130457</v>
      </c>
      <c r="I8" s="101">
        <f t="shared" si="0"/>
        <v>23026.952029824497</v>
      </c>
      <c r="J8" s="115">
        <f>+I8*References!$C$55</f>
        <v>17.615618302815783</v>
      </c>
      <c r="K8" s="115">
        <f>+J8/References!$G$58</f>
        <v>17.961832626695337</v>
      </c>
      <c r="L8" s="115">
        <f t="shared" ref="L8:L59" si="3">+K8/F8*E8</f>
        <v>6.2419737971440056E-2</v>
      </c>
      <c r="M8" s="115">
        <f>+'Proposed Rates'!B12</f>
        <v>13.06</v>
      </c>
      <c r="N8" s="115">
        <f t="shared" ref="N8:N59" si="4">+L8+M8</f>
        <v>13.122419737971441</v>
      </c>
      <c r="O8" s="115">
        <f>+'Proposed Rates'!D12</f>
        <v>13.122419737971441</v>
      </c>
      <c r="P8" s="115">
        <f t="shared" ref="P8:P59" si="5">+D8*M8*12</f>
        <v>3758.1307087827431</v>
      </c>
      <c r="Q8" s="115">
        <f t="shared" ref="Q8:Q59" si="6">+D8*O8*12</f>
        <v>3776.0925414094386</v>
      </c>
      <c r="R8" s="115">
        <f t="shared" ref="R8:R59" si="7">+Q8-P8</f>
        <v>17.961832626695468</v>
      </c>
      <c r="S8" s="115">
        <f t="shared" ref="S8:S59" si="8">+D8*N8*12</f>
        <v>3776.0925414094386</v>
      </c>
      <c r="T8" s="115">
        <f t="shared" ref="T8:T59" si="9">+Q8-S8</f>
        <v>0</v>
      </c>
      <c r="U8" s="114">
        <f t="shared" ref="U8:U59" si="10">+N8</f>
        <v>13.122419737971441</v>
      </c>
      <c r="V8" s="114">
        <f t="shared" ref="V8:V59" si="11">+D8*U8*12</f>
        <v>3776.0925414094386</v>
      </c>
      <c r="W8" s="114">
        <f t="shared" ref="W8:W59" si="12">+V8-P8</f>
        <v>17.961832626695468</v>
      </c>
      <c r="X8" s="209">
        <f t="shared" ref="X8:X71" si="13">W8-K8</f>
        <v>1.3145040611561853E-13</v>
      </c>
    </row>
    <row r="9" spans="1:24">
      <c r="A9" s="216"/>
      <c r="B9" s="153">
        <v>20</v>
      </c>
      <c r="C9" s="100" t="s">
        <v>193</v>
      </c>
      <c r="D9" s="101">
        <f>+'Company Regulated Cust Count'!AC14</f>
        <v>1</v>
      </c>
      <c r="E9" s="113">
        <f>+References!B11</f>
        <v>4.333333333333333</v>
      </c>
      <c r="F9" s="101">
        <f t="shared" si="1"/>
        <v>52</v>
      </c>
      <c r="G9" s="101">
        <f>+References!B17*3</f>
        <v>60</v>
      </c>
      <c r="H9" s="101">
        <f t="shared" si="2"/>
        <v>3120</v>
      </c>
      <c r="I9" s="101">
        <f t="shared" si="0"/>
        <v>2880.7810598607248</v>
      </c>
      <c r="J9" s="115">
        <f>+I9*References!$C$55</f>
        <v>2.2037975107934598</v>
      </c>
      <c r="K9" s="115">
        <f>+J9/References!$G$58</f>
        <v>2.2471105669718421</v>
      </c>
      <c r="L9" s="115">
        <f t="shared" si="3"/>
        <v>0.18725921391432016</v>
      </c>
      <c r="M9" s="115">
        <f>+'Proposed Rates'!B28*3</f>
        <v>33.18</v>
      </c>
      <c r="N9" s="115">
        <f t="shared" si="4"/>
        <v>33.367259213914323</v>
      </c>
      <c r="O9" s="115">
        <f>+'Proposed Rates'!D28*3</f>
        <v>33.367259213914323</v>
      </c>
      <c r="P9" s="115">
        <f t="shared" si="5"/>
        <v>398.15999999999997</v>
      </c>
      <c r="Q9" s="115">
        <f t="shared" si="6"/>
        <v>400.40711056697188</v>
      </c>
      <c r="R9" s="115">
        <f t="shared" si="7"/>
        <v>2.2471105669719122</v>
      </c>
      <c r="S9" s="115">
        <f t="shared" si="8"/>
        <v>400.40711056697188</v>
      </c>
      <c r="T9" s="115">
        <f t="shared" si="9"/>
        <v>0</v>
      </c>
      <c r="U9" s="114">
        <f t="shared" si="10"/>
        <v>33.367259213914323</v>
      </c>
      <c r="V9" s="114">
        <f t="shared" si="11"/>
        <v>400.40711056697188</v>
      </c>
      <c r="W9" s="114">
        <f t="shared" si="12"/>
        <v>2.2471105669719122</v>
      </c>
      <c r="X9" s="209">
        <f t="shared" si="13"/>
        <v>7.0166095156309893E-14</v>
      </c>
    </row>
    <row r="10" spans="1:24">
      <c r="A10" s="216"/>
      <c r="B10" s="153">
        <v>20</v>
      </c>
      <c r="C10" s="100" t="s">
        <v>195</v>
      </c>
      <c r="D10" s="101">
        <f>+'Company Regulated Cust Count'!AC15</f>
        <v>0.61151564185544771</v>
      </c>
      <c r="E10" s="113">
        <f>+References!B13</f>
        <v>1</v>
      </c>
      <c r="F10" s="101">
        <f t="shared" si="1"/>
        <v>7.3381877022653725</v>
      </c>
      <c r="G10" s="101">
        <f>+References!B18</f>
        <v>34</v>
      </c>
      <c r="H10" s="101">
        <f t="shared" si="2"/>
        <v>249.49838187702267</v>
      </c>
      <c r="I10" s="101">
        <f t="shared" si="0"/>
        <v>230.3686580055209</v>
      </c>
      <c r="J10" s="115">
        <f>+I10*References!$C$55</f>
        <v>0.17623202337422389</v>
      </c>
      <c r="K10" s="115">
        <f>+J10/References!$G$58</f>
        <v>0.17969565716610048</v>
      </c>
      <c r="L10" s="115">
        <f t="shared" si="3"/>
        <v>2.4487743358026479E-2</v>
      </c>
      <c r="M10" s="115">
        <f>+'Proposed Rates'!B29</f>
        <v>6.29</v>
      </c>
      <c r="N10" s="115">
        <f t="shared" si="4"/>
        <v>6.3144877433580264</v>
      </c>
      <c r="O10" s="115">
        <f>+'Proposed Rates'!D29</f>
        <v>6.3144877433580264</v>
      </c>
      <c r="P10" s="115">
        <f t="shared" si="5"/>
        <v>46.157200647249198</v>
      </c>
      <c r="Q10" s="115">
        <f t="shared" si="6"/>
        <v>46.336896304415291</v>
      </c>
      <c r="R10" s="115">
        <f t="shared" si="7"/>
        <v>0.17969565716609281</v>
      </c>
      <c r="S10" s="115">
        <f t="shared" si="8"/>
        <v>46.336896304415291</v>
      </c>
      <c r="T10" s="115">
        <f t="shared" si="9"/>
        <v>0</v>
      </c>
      <c r="U10" s="114">
        <f t="shared" si="10"/>
        <v>6.3144877433580264</v>
      </c>
      <c r="V10" s="114">
        <f t="shared" si="11"/>
        <v>46.336896304415291</v>
      </c>
      <c r="W10" s="114">
        <f t="shared" si="12"/>
        <v>0.17969565716609281</v>
      </c>
      <c r="X10" s="209">
        <f t="shared" si="13"/>
        <v>-7.6605388699135801E-15</v>
      </c>
    </row>
    <row r="11" spans="1:24">
      <c r="A11" s="216"/>
      <c r="B11" s="153">
        <v>20</v>
      </c>
      <c r="C11" s="100" t="s">
        <v>195</v>
      </c>
      <c r="D11" s="101">
        <f>+'Company Regulated Cust Count'!AC16</f>
        <v>1</v>
      </c>
      <c r="E11" s="113">
        <f>+References!B13</f>
        <v>1</v>
      </c>
      <c r="F11" s="101">
        <f t="shared" si="1"/>
        <v>12</v>
      </c>
      <c r="G11" s="101">
        <f>+References!B18</f>
        <v>34</v>
      </c>
      <c r="H11" s="101">
        <f t="shared" si="2"/>
        <v>408</v>
      </c>
      <c r="I11" s="101">
        <f t="shared" si="0"/>
        <v>376.71752321255633</v>
      </c>
      <c r="J11" s="115">
        <f>+I11*References!$C$55</f>
        <v>0.28818890525760626</v>
      </c>
      <c r="K11" s="115">
        <f>+J11/References!$G$58</f>
        <v>0.29385292029631782</v>
      </c>
      <c r="L11" s="115">
        <f t="shared" si="3"/>
        <v>2.4487743358026486E-2</v>
      </c>
      <c r="M11" s="115">
        <f>+'Proposed Rates'!B29</f>
        <v>6.29</v>
      </c>
      <c r="N11" s="115">
        <f t="shared" si="4"/>
        <v>6.3144877433580264</v>
      </c>
      <c r="O11" s="115">
        <f>+'Proposed Rates'!D29</f>
        <v>6.3144877433580264</v>
      </c>
      <c r="P11" s="115">
        <f t="shared" si="5"/>
        <v>75.48</v>
      </c>
      <c r="Q11" s="115">
        <f t="shared" si="6"/>
        <v>75.773852920296321</v>
      </c>
      <c r="R11" s="115">
        <f t="shared" si="7"/>
        <v>0.29385292029631671</v>
      </c>
      <c r="S11" s="115">
        <f t="shared" si="8"/>
        <v>75.773852920296321</v>
      </c>
      <c r="T11" s="115">
        <f t="shared" si="9"/>
        <v>0</v>
      </c>
      <c r="U11" s="114">
        <f t="shared" si="10"/>
        <v>6.3144877433580264</v>
      </c>
      <c r="V11" s="114">
        <f t="shared" si="11"/>
        <v>75.773852920296321</v>
      </c>
      <c r="W11" s="114">
        <f t="shared" si="12"/>
        <v>0.29385292029631671</v>
      </c>
      <c r="X11" s="209">
        <f t="shared" si="13"/>
        <v>-1.1102230246251565E-15</v>
      </c>
    </row>
    <row r="12" spans="1:24">
      <c r="A12" s="216"/>
      <c r="B12" s="153">
        <v>20</v>
      </c>
      <c r="C12" s="100" t="s">
        <v>198</v>
      </c>
      <c r="D12" s="101">
        <f>+'Company Regulated Cust Count'!AC17</f>
        <v>18.747578692493949</v>
      </c>
      <c r="E12" s="113">
        <f>+References!B13</f>
        <v>1</v>
      </c>
      <c r="F12" s="101">
        <f t="shared" si="1"/>
        <v>224.9709443099274</v>
      </c>
      <c r="G12" s="101">
        <f>+References!B18</f>
        <v>34</v>
      </c>
      <c r="H12" s="101">
        <f t="shared" si="2"/>
        <v>7649.0121065375315</v>
      </c>
      <c r="I12" s="101">
        <f t="shared" si="0"/>
        <v>7062.5414112688159</v>
      </c>
      <c r="J12" s="115">
        <f>+I12*References!$C$55</f>
        <v>5.402844179620657</v>
      </c>
      <c r="K12" s="115">
        <f>+J12/References!$G$58</f>
        <v>5.5090307472743705</v>
      </c>
      <c r="L12" s="115">
        <f t="shared" si="3"/>
        <v>2.4487743358026483E-2</v>
      </c>
      <c r="M12" s="115">
        <f>+'Proposed Rates'!B13</f>
        <v>8.2899999999999991</v>
      </c>
      <c r="N12" s="115">
        <f t="shared" si="4"/>
        <v>8.3144877433580255</v>
      </c>
      <c r="O12" s="115">
        <f>+'Proposed Rates'!D13</f>
        <v>8.3144877433580255</v>
      </c>
      <c r="P12" s="115">
        <f t="shared" si="5"/>
        <v>1865.0091283292977</v>
      </c>
      <c r="Q12" s="115">
        <f t="shared" si="6"/>
        <v>1870.5181590765724</v>
      </c>
      <c r="R12" s="115">
        <f t="shared" si="7"/>
        <v>5.5090307472746645</v>
      </c>
      <c r="S12" s="115">
        <f t="shared" si="8"/>
        <v>1870.5181590765724</v>
      </c>
      <c r="T12" s="115">
        <f t="shared" si="9"/>
        <v>0</v>
      </c>
      <c r="U12" s="114">
        <f t="shared" si="10"/>
        <v>8.3144877433580255</v>
      </c>
      <c r="V12" s="114">
        <f t="shared" si="11"/>
        <v>1870.5181590765724</v>
      </c>
      <c r="W12" s="114">
        <f t="shared" si="12"/>
        <v>5.5090307472746645</v>
      </c>
      <c r="X12" s="209">
        <f t="shared" si="13"/>
        <v>2.9398705692074145E-13</v>
      </c>
    </row>
    <row r="13" spans="1:24">
      <c r="A13" s="216"/>
      <c r="B13" s="153">
        <v>20</v>
      </c>
      <c r="C13" s="100" t="s">
        <v>200</v>
      </c>
      <c r="D13" s="146">
        <f>+'Company Regulated Cust Count'!AC18</f>
        <v>101.79539403620873</v>
      </c>
      <c r="E13" s="113">
        <f>+References!B13</f>
        <v>1</v>
      </c>
      <c r="F13" s="101">
        <f t="shared" si="1"/>
        <v>1221.5447284345048</v>
      </c>
      <c r="G13" s="101">
        <f>+References!B18</f>
        <v>34</v>
      </c>
      <c r="H13" s="101">
        <f t="shared" si="2"/>
        <v>41532.520766773167</v>
      </c>
      <c r="I13" s="101">
        <f t="shared" si="0"/>
        <v>38348.108715766779</v>
      </c>
      <c r="J13" s="115">
        <f>+I13*References!$C$55</f>
        <v>29.336303167561656</v>
      </c>
      <c r="K13" s="115">
        <f>+J13/References!$G$58</f>
        <v>29.912873810254307</v>
      </c>
      <c r="L13" s="115">
        <f t="shared" si="3"/>
        <v>2.4487743358026483E-2</v>
      </c>
      <c r="M13" s="115">
        <f>+'Proposed Rates'!B29</f>
        <v>6.29</v>
      </c>
      <c r="N13" s="115">
        <f t="shared" si="4"/>
        <v>6.3144877433580264</v>
      </c>
      <c r="O13" s="115">
        <f>+'Proposed Rates'!D29</f>
        <v>6.3144877433580264</v>
      </c>
      <c r="P13" s="115">
        <f t="shared" si="5"/>
        <v>7683.5163418530356</v>
      </c>
      <c r="Q13" s="115">
        <f t="shared" si="6"/>
        <v>7713.4292156632891</v>
      </c>
      <c r="R13" s="115">
        <f t="shared" si="7"/>
        <v>29.912873810253586</v>
      </c>
      <c r="S13" s="115">
        <f t="shared" si="8"/>
        <v>7713.4292156632891</v>
      </c>
      <c r="T13" s="115">
        <f t="shared" si="9"/>
        <v>0</v>
      </c>
      <c r="U13" s="114">
        <f t="shared" si="10"/>
        <v>6.3144877433580264</v>
      </c>
      <c r="V13" s="114">
        <f t="shared" si="11"/>
        <v>7713.4292156632891</v>
      </c>
      <c r="W13" s="114">
        <f t="shared" si="12"/>
        <v>29.912873810253586</v>
      </c>
      <c r="X13" s="209">
        <f t="shared" si="13"/>
        <v>-7.2120087679650169E-13</v>
      </c>
    </row>
    <row r="14" spans="1:24">
      <c r="A14" s="216"/>
      <c r="B14" s="153">
        <v>20</v>
      </c>
      <c r="C14" s="204" t="s">
        <v>202</v>
      </c>
      <c r="D14" s="206">
        <f>+'Company Regulated Cust Count'!AC19</f>
        <v>397.79764497470205</v>
      </c>
      <c r="E14" s="103">
        <f>+References!B11</f>
        <v>4.333333333333333</v>
      </c>
      <c r="F14" s="206">
        <f t="shared" si="1"/>
        <v>20685.477538684503</v>
      </c>
      <c r="G14" s="206">
        <f>+References!B18</f>
        <v>34</v>
      </c>
      <c r="H14" s="206">
        <f t="shared" si="2"/>
        <v>703306.2363152731</v>
      </c>
      <c r="I14" s="206">
        <f t="shared" si="0"/>
        <v>649381.82207018265</v>
      </c>
      <c r="J14" s="162">
        <f>+I14*References!$C$55</f>
        <v>496.7770938836909</v>
      </c>
      <c r="K14" s="162">
        <f>+J14/References!$G$58</f>
        <v>506.54066520552743</v>
      </c>
      <c r="L14" s="162">
        <f t="shared" si="3"/>
        <v>0.10611355455144808</v>
      </c>
      <c r="M14" s="162">
        <f>+'Proposed Rates'!B14</f>
        <v>17.829999999999998</v>
      </c>
      <c r="N14" s="162">
        <f t="shared" si="4"/>
        <v>17.936113554551447</v>
      </c>
      <c r="O14" s="162">
        <f>+'Proposed Rates'!D14</f>
        <v>17.936113554551447</v>
      </c>
      <c r="P14" s="162">
        <f t="shared" si="5"/>
        <v>85112.78411878724</v>
      </c>
      <c r="Q14" s="162">
        <f t="shared" si="6"/>
        <v>85619.324783992779</v>
      </c>
      <c r="R14" s="162">
        <f t="shared" si="7"/>
        <v>506.54066520553897</v>
      </c>
      <c r="S14" s="162">
        <f t="shared" si="8"/>
        <v>85619.324783992779</v>
      </c>
      <c r="T14" s="162">
        <f t="shared" si="9"/>
        <v>0</v>
      </c>
      <c r="U14" s="114">
        <f t="shared" si="10"/>
        <v>17.936113554551447</v>
      </c>
      <c r="V14" s="114">
        <f t="shared" si="11"/>
        <v>85619.324783992779</v>
      </c>
      <c r="W14" s="114">
        <f t="shared" si="12"/>
        <v>506.54066520553897</v>
      </c>
      <c r="X14" s="209">
        <f t="shared" si="13"/>
        <v>1.1539214028744027E-11</v>
      </c>
    </row>
    <row r="15" spans="1:24">
      <c r="A15" s="216"/>
      <c r="B15" s="153">
        <v>20</v>
      </c>
      <c r="C15" s="204" t="s">
        <v>204</v>
      </c>
      <c r="D15" s="206">
        <f>+'Company Regulated Cust Count'!AC20</f>
        <v>652.94836894019818</v>
      </c>
      <c r="E15" s="103">
        <f>+References!B11</f>
        <v>4.333333333333333</v>
      </c>
      <c r="F15" s="206">
        <f t="shared" si="1"/>
        <v>33953.315184890307</v>
      </c>
      <c r="G15" s="206">
        <f>+References!B18</f>
        <v>34</v>
      </c>
      <c r="H15" s="206">
        <f t="shared" si="2"/>
        <v>1154412.7162862704</v>
      </c>
      <c r="I15" s="206">
        <f t="shared" si="0"/>
        <v>1065900.733442263</v>
      </c>
      <c r="J15" s="162">
        <f>+I15*References!$C$55</f>
        <v>815.41406108333308</v>
      </c>
      <c r="K15" s="162">
        <f>+J15/References!$G$58</f>
        <v>831.44006840177735</v>
      </c>
      <c r="L15" s="162">
        <f t="shared" si="3"/>
        <v>0.10611355455144808</v>
      </c>
      <c r="M15" s="162">
        <f>+'Proposed Rates'!B30</f>
        <v>15.83</v>
      </c>
      <c r="N15" s="162">
        <f t="shared" si="4"/>
        <v>15.936113554551449</v>
      </c>
      <c r="O15" s="162">
        <f>+'Proposed Rates'!D30</f>
        <v>15.936113554551449</v>
      </c>
      <c r="P15" s="162">
        <f t="shared" si="5"/>
        <v>124034.07216388005</v>
      </c>
      <c r="Q15" s="162">
        <f t="shared" si="6"/>
        <v>124865.51223228182</v>
      </c>
      <c r="R15" s="162">
        <f t="shared" si="7"/>
        <v>831.44006840177462</v>
      </c>
      <c r="S15" s="162">
        <f t="shared" si="8"/>
        <v>124865.51223228182</v>
      </c>
      <c r="T15" s="162">
        <f t="shared" si="9"/>
        <v>0</v>
      </c>
      <c r="U15" s="114">
        <f t="shared" si="10"/>
        <v>15.936113554551449</v>
      </c>
      <c r="V15" s="114">
        <f t="shared" si="11"/>
        <v>124865.51223228182</v>
      </c>
      <c r="W15" s="114">
        <f t="shared" si="12"/>
        <v>831.44006840177462</v>
      </c>
      <c r="X15" s="209">
        <f t="shared" si="13"/>
        <v>-2.7284841053187847E-12</v>
      </c>
    </row>
    <row r="16" spans="1:24">
      <c r="A16" s="216"/>
      <c r="B16" s="153">
        <v>20</v>
      </c>
      <c r="C16" s="204" t="s">
        <v>206</v>
      </c>
      <c r="D16" s="206">
        <f>+'Company Regulated Cust Count'!AC21</f>
        <v>29.240394686452088</v>
      </c>
      <c r="E16" s="103">
        <f>+References!B11</f>
        <v>4.333333333333333</v>
      </c>
      <c r="F16" s="206">
        <f t="shared" si="1"/>
        <v>1520.5005236955085</v>
      </c>
      <c r="G16" s="206">
        <f>+References!B19</f>
        <v>51</v>
      </c>
      <c r="H16" s="206">
        <f t="shared" si="2"/>
        <v>77545.526708470934</v>
      </c>
      <c r="I16" s="206">
        <f t="shared" si="0"/>
        <v>71599.898916245846</v>
      </c>
      <c r="J16" s="162">
        <f>+I16*References!$C$55</f>
        <v>54.773922670928201</v>
      </c>
      <c r="K16" s="162">
        <f>+J16/References!$G$58</f>
        <v>55.850439900000715</v>
      </c>
      <c r="L16" s="162">
        <f t="shared" si="3"/>
        <v>0.15917033182717213</v>
      </c>
      <c r="M16" s="162">
        <f>+'Proposed Rates'!B15</f>
        <v>26.38</v>
      </c>
      <c r="N16" s="162">
        <f t="shared" si="4"/>
        <v>26.539170331827172</v>
      </c>
      <c r="O16" s="162">
        <f>+'Proposed Rates'!D15</f>
        <v>26.539170331827172</v>
      </c>
      <c r="P16" s="162">
        <f t="shared" si="5"/>
        <v>9256.3393419432723</v>
      </c>
      <c r="Q16" s="162">
        <f t="shared" si="6"/>
        <v>9312.1897818432735</v>
      </c>
      <c r="R16" s="162">
        <f t="shared" si="7"/>
        <v>55.85043990000122</v>
      </c>
      <c r="S16" s="162">
        <f t="shared" si="8"/>
        <v>9312.1897818432735</v>
      </c>
      <c r="T16" s="162">
        <f t="shared" si="9"/>
        <v>0</v>
      </c>
      <c r="U16" s="114">
        <f t="shared" si="10"/>
        <v>26.539170331827172</v>
      </c>
      <c r="V16" s="114">
        <f t="shared" si="11"/>
        <v>9312.1897818432735</v>
      </c>
      <c r="W16" s="114">
        <f t="shared" si="12"/>
        <v>55.85043990000122</v>
      </c>
      <c r="X16" s="209">
        <f t="shared" si="13"/>
        <v>5.0448534238967113E-13</v>
      </c>
    </row>
    <row r="17" spans="1:24">
      <c r="A17" s="216"/>
      <c r="B17" s="153">
        <v>20</v>
      </c>
      <c r="C17" s="204" t="s">
        <v>208</v>
      </c>
      <c r="D17" s="206">
        <f>+'Company Regulated Cust Count'!AC22</f>
        <v>19.439378274055695</v>
      </c>
      <c r="E17" s="103">
        <f>+References!B11</f>
        <v>4.333333333333333</v>
      </c>
      <c r="F17" s="206">
        <f t="shared" si="1"/>
        <v>1010.847670250896</v>
      </c>
      <c r="G17" s="206">
        <f>+References!B19</f>
        <v>51</v>
      </c>
      <c r="H17" s="206">
        <f t="shared" si="2"/>
        <v>51553.231182795702</v>
      </c>
      <c r="I17" s="206">
        <f t="shared" si="0"/>
        <v>47600.503835262549</v>
      </c>
      <c r="J17" s="162">
        <f>+I17*References!$C$55</f>
        <v>36.414385433975937</v>
      </c>
      <c r="K17" s="162">
        <f>+J17/References!$G$58</f>
        <v>37.130067484744387</v>
      </c>
      <c r="L17" s="162">
        <f t="shared" si="3"/>
        <v>0.15917033182717213</v>
      </c>
      <c r="M17" s="162">
        <f>+'Proposed Rates'!B31</f>
        <v>24.38</v>
      </c>
      <c r="N17" s="162">
        <f t="shared" si="4"/>
        <v>24.539170331827172</v>
      </c>
      <c r="O17" s="162">
        <f>+'Proposed Rates'!D31</f>
        <v>24.539170331827172</v>
      </c>
      <c r="P17" s="162">
        <f t="shared" si="5"/>
        <v>5687.1845078577335</v>
      </c>
      <c r="Q17" s="162">
        <f t="shared" si="6"/>
        <v>5724.3145753424787</v>
      </c>
      <c r="R17" s="162">
        <f t="shared" si="7"/>
        <v>37.130067484745268</v>
      </c>
      <c r="S17" s="162">
        <f t="shared" si="8"/>
        <v>5724.3145753424787</v>
      </c>
      <c r="T17" s="162">
        <f t="shared" si="9"/>
        <v>0</v>
      </c>
      <c r="U17" s="114">
        <f t="shared" si="10"/>
        <v>24.539170331827172</v>
      </c>
      <c r="V17" s="114">
        <f t="shared" si="11"/>
        <v>5724.3145753424787</v>
      </c>
      <c r="W17" s="114">
        <f t="shared" si="12"/>
        <v>37.130067484745268</v>
      </c>
      <c r="X17" s="209">
        <f t="shared" si="13"/>
        <v>8.8107299234252423E-13</v>
      </c>
    </row>
    <row r="18" spans="1:24">
      <c r="A18" s="216"/>
      <c r="B18" s="153">
        <v>20</v>
      </c>
      <c r="C18" s="204" t="s">
        <v>210</v>
      </c>
      <c r="D18" s="206">
        <f>+'Company Regulated Cust Count'!AC23</f>
        <v>3.75</v>
      </c>
      <c r="E18" s="103">
        <f>+References!B11</f>
        <v>4.333333333333333</v>
      </c>
      <c r="F18" s="206">
        <f t="shared" si="1"/>
        <v>195</v>
      </c>
      <c r="G18" s="206">
        <f>+References!B20</f>
        <v>77</v>
      </c>
      <c r="H18" s="206">
        <f t="shared" si="2"/>
        <v>15015</v>
      </c>
      <c r="I18" s="206">
        <f t="shared" si="0"/>
        <v>13863.758850579738</v>
      </c>
      <c r="J18" s="162">
        <f>+I18*References!$C$55</f>
        <v>10.605775520693523</v>
      </c>
      <c r="K18" s="162">
        <f>+J18/References!$G$58</f>
        <v>10.814219603551988</v>
      </c>
      <c r="L18" s="162">
        <f t="shared" si="3"/>
        <v>0.24031599119004415</v>
      </c>
      <c r="M18" s="162">
        <f>+'Proposed Rates'!B16</f>
        <v>35</v>
      </c>
      <c r="N18" s="162">
        <f t="shared" si="4"/>
        <v>35.240315991190045</v>
      </c>
      <c r="O18" s="162">
        <f>+'Proposed Rates'!D16</f>
        <v>35.240315991190045</v>
      </c>
      <c r="P18" s="162">
        <f t="shared" si="5"/>
        <v>1575</v>
      </c>
      <c r="Q18" s="162">
        <f t="shared" si="6"/>
        <v>1585.8142196035519</v>
      </c>
      <c r="R18" s="162">
        <f t="shared" si="7"/>
        <v>10.814219603551919</v>
      </c>
      <c r="S18" s="162">
        <f t="shared" si="8"/>
        <v>1585.8142196035519</v>
      </c>
      <c r="T18" s="162">
        <f t="shared" si="9"/>
        <v>0</v>
      </c>
      <c r="U18" s="114">
        <f t="shared" si="10"/>
        <v>35.240315991190045</v>
      </c>
      <c r="V18" s="114">
        <f t="shared" si="11"/>
        <v>1585.8142196035519</v>
      </c>
      <c r="W18" s="114">
        <f t="shared" si="12"/>
        <v>10.814219603551919</v>
      </c>
      <c r="X18" s="209">
        <f t="shared" si="13"/>
        <v>-6.9277916736609768E-14</v>
      </c>
    </row>
    <row r="19" spans="1:24">
      <c r="A19" s="216"/>
      <c r="B19" s="153">
        <v>20</v>
      </c>
      <c r="C19" s="204" t="s">
        <v>212</v>
      </c>
      <c r="D19" s="206">
        <f>+'Company Regulated Cust Count'!AC24</f>
        <v>4.3552948637724107</v>
      </c>
      <c r="E19" s="103">
        <f>+References!B11</f>
        <v>4.333333333333333</v>
      </c>
      <c r="F19" s="206">
        <f t="shared" si="1"/>
        <v>226.47533291616537</v>
      </c>
      <c r="G19" s="206">
        <f>+References!B20</f>
        <v>77</v>
      </c>
      <c r="H19" s="206">
        <f t="shared" si="2"/>
        <v>17438.600634544735</v>
      </c>
      <c r="I19" s="206">
        <f t="shared" si="0"/>
        <v>16101.535390535797</v>
      </c>
      <c r="J19" s="162">
        <f>+I19*References!$C$55</f>
        <v>12.317674573759913</v>
      </c>
      <c r="K19" s="162">
        <f>+J19/References!$G$58</f>
        <v>12.559764025348505</v>
      </c>
      <c r="L19" s="162">
        <f t="shared" si="3"/>
        <v>0.24031599119004418</v>
      </c>
      <c r="M19" s="162">
        <f>+'Proposed Rates'!B32</f>
        <v>33</v>
      </c>
      <c r="N19" s="162">
        <f t="shared" si="4"/>
        <v>33.240315991190045</v>
      </c>
      <c r="O19" s="162">
        <f>+'Proposed Rates'!D32</f>
        <v>33.240315991190045</v>
      </c>
      <c r="P19" s="162">
        <f t="shared" si="5"/>
        <v>1724.6967660538744</v>
      </c>
      <c r="Q19" s="162">
        <f t="shared" si="6"/>
        <v>1737.2565300792232</v>
      </c>
      <c r="R19" s="162">
        <f t="shared" si="7"/>
        <v>12.559764025348841</v>
      </c>
      <c r="S19" s="162">
        <f t="shared" si="8"/>
        <v>1737.2565300792232</v>
      </c>
      <c r="T19" s="162">
        <f t="shared" si="9"/>
        <v>0</v>
      </c>
      <c r="U19" s="114">
        <f t="shared" si="10"/>
        <v>33.240315991190045</v>
      </c>
      <c r="V19" s="114">
        <f t="shared" si="11"/>
        <v>1737.2565300792232</v>
      </c>
      <c r="W19" s="114">
        <f t="shared" si="12"/>
        <v>12.559764025348841</v>
      </c>
      <c r="X19" s="209">
        <f t="shared" si="13"/>
        <v>3.3573144264664734E-13</v>
      </c>
    </row>
    <row r="20" spans="1:24">
      <c r="A20" s="216"/>
      <c r="B20" s="153">
        <v>20</v>
      </c>
      <c r="C20" s="204" t="s">
        <v>214</v>
      </c>
      <c r="D20" s="206">
        <f>+'Company Regulated Cust Count'!AC25</f>
        <v>1.5416569789971326</v>
      </c>
      <c r="E20" s="103">
        <f>+References!B11</f>
        <v>4.333333333333333</v>
      </c>
      <c r="F20" s="206">
        <f t="shared" si="1"/>
        <v>80.166162907850889</v>
      </c>
      <c r="G20" s="206">
        <f>+References!B21</f>
        <v>97</v>
      </c>
      <c r="H20" s="206">
        <f t="shared" si="2"/>
        <v>7776.1178020615362</v>
      </c>
      <c r="I20" s="206">
        <f t="shared" si="0"/>
        <v>7179.9015652002181</v>
      </c>
      <c r="J20" s="162">
        <f>+I20*References!$C$55</f>
        <v>5.4926246973781794</v>
      </c>
      <c r="K20" s="162">
        <f>+J20/References!$G$58</f>
        <v>5.6005757958430546</v>
      </c>
      <c r="L20" s="162">
        <f t="shared" si="3"/>
        <v>0.30273572916148422</v>
      </c>
      <c r="M20" s="162">
        <f>+'Proposed Rates'!B17</f>
        <v>43.4</v>
      </c>
      <c r="N20" s="162">
        <f t="shared" si="4"/>
        <v>43.702735729161482</v>
      </c>
      <c r="O20" s="162">
        <f>+'Proposed Rates'!D17</f>
        <v>43.702735729161482</v>
      </c>
      <c r="P20" s="162">
        <f t="shared" si="5"/>
        <v>802.89495466170661</v>
      </c>
      <c r="Q20" s="162">
        <f t="shared" si="6"/>
        <v>808.49553045754965</v>
      </c>
      <c r="R20" s="162">
        <f t="shared" si="7"/>
        <v>5.6005757958430422</v>
      </c>
      <c r="S20" s="162">
        <f t="shared" si="8"/>
        <v>808.49553045754965</v>
      </c>
      <c r="T20" s="162">
        <f t="shared" si="9"/>
        <v>0</v>
      </c>
      <c r="U20" s="114">
        <f t="shared" si="10"/>
        <v>43.702735729161482</v>
      </c>
      <c r="V20" s="114">
        <f t="shared" si="11"/>
        <v>808.49553045754965</v>
      </c>
      <c r="W20" s="114">
        <f t="shared" si="12"/>
        <v>5.6005757958430422</v>
      </c>
      <c r="X20" s="209">
        <f t="shared" si="13"/>
        <v>-1.2434497875801753E-14</v>
      </c>
    </row>
    <row r="21" spans="1:24">
      <c r="A21" s="216"/>
      <c r="B21" s="153">
        <v>20</v>
      </c>
      <c r="C21" s="204" t="s">
        <v>218</v>
      </c>
      <c r="D21" s="206">
        <f>+'Company Regulated Cust Count'!AC27</f>
        <v>46.797101046098057</v>
      </c>
      <c r="E21" s="103">
        <f>+References!B12</f>
        <v>2.1666666666666665</v>
      </c>
      <c r="F21" s="206">
        <f t="shared" si="1"/>
        <v>1216.7246271985496</v>
      </c>
      <c r="G21" s="206">
        <f>+References!B18</f>
        <v>34</v>
      </c>
      <c r="H21" s="206">
        <f t="shared" si="2"/>
        <v>41368.637324750685</v>
      </c>
      <c r="I21" s="206">
        <f t="shared" si="0"/>
        <v>38196.790665829874</v>
      </c>
      <c r="J21" s="162">
        <f>+I21*References!$C$55</f>
        <v>29.220544859359922</v>
      </c>
      <c r="K21" s="162">
        <f>+J21/References!$G$58</f>
        <v>29.794840408228527</v>
      </c>
      <c r="L21" s="162">
        <f t="shared" si="3"/>
        <v>5.3056777275724033E-2</v>
      </c>
      <c r="M21" s="162">
        <f>+'Proposed Rates'!B19</f>
        <v>13.41</v>
      </c>
      <c r="N21" s="162">
        <f t="shared" si="4"/>
        <v>13.463056777275725</v>
      </c>
      <c r="O21" s="162">
        <f>+'Proposed Rates'!D19</f>
        <v>13.463056777275725</v>
      </c>
      <c r="P21" s="162">
        <f t="shared" si="5"/>
        <v>7530.5895003380992</v>
      </c>
      <c r="Q21" s="162">
        <f t="shared" si="6"/>
        <v>7560.3843407463282</v>
      </c>
      <c r="R21" s="162">
        <f t="shared" si="7"/>
        <v>29.794840408228993</v>
      </c>
      <c r="S21" s="162">
        <f t="shared" si="8"/>
        <v>7560.3843407463282</v>
      </c>
      <c r="T21" s="162">
        <f t="shared" si="9"/>
        <v>0</v>
      </c>
      <c r="U21" s="114">
        <f t="shared" si="10"/>
        <v>13.463056777275725</v>
      </c>
      <c r="V21" s="114">
        <f t="shared" si="11"/>
        <v>7560.3843407463282</v>
      </c>
      <c r="W21" s="114">
        <f t="shared" si="12"/>
        <v>29.794840408228993</v>
      </c>
      <c r="X21" s="209">
        <f t="shared" si="13"/>
        <v>4.6540549192286562E-13</v>
      </c>
    </row>
    <row r="22" spans="1:24">
      <c r="A22" s="216"/>
      <c r="B22" s="153">
        <v>20</v>
      </c>
      <c r="C22" s="204" t="s">
        <v>220</v>
      </c>
      <c r="D22" s="206">
        <f>+'Company Regulated Cust Count'!AC28</f>
        <v>157.30998393698584</v>
      </c>
      <c r="E22" s="103">
        <f>+References!B12</f>
        <v>2.1666666666666665</v>
      </c>
      <c r="F22" s="206">
        <f t="shared" si="1"/>
        <v>4090.0595823616322</v>
      </c>
      <c r="G22" s="206">
        <f>+References!B18</f>
        <v>34</v>
      </c>
      <c r="H22" s="206">
        <f t="shared" si="2"/>
        <v>139062.02580029549</v>
      </c>
      <c r="I22" s="206">
        <f t="shared" si="0"/>
        <v>128399.75963825471</v>
      </c>
      <c r="J22" s="162">
        <f>+I22*References!$C$55</f>
        <v>98.225816123265076</v>
      </c>
      <c r="K22" s="162">
        <f>+J22/References!$G$58</f>
        <v>100.15632937190863</v>
      </c>
      <c r="L22" s="162">
        <f t="shared" si="3"/>
        <v>5.305677727572404E-2</v>
      </c>
      <c r="M22" s="162">
        <f>+'Proposed Rates'!B35</f>
        <v>11.41</v>
      </c>
      <c r="N22" s="162">
        <f t="shared" si="4"/>
        <v>11.463056777275725</v>
      </c>
      <c r="O22" s="162">
        <f>+'Proposed Rates'!D35</f>
        <v>11.463056777275725</v>
      </c>
      <c r="P22" s="162">
        <f t="shared" si="5"/>
        <v>21538.883000652102</v>
      </c>
      <c r="Q22" s="162">
        <f t="shared" si="6"/>
        <v>21639.03933002401</v>
      </c>
      <c r="R22" s="162">
        <f t="shared" si="7"/>
        <v>100.15632937190821</v>
      </c>
      <c r="S22" s="162">
        <f t="shared" si="8"/>
        <v>21639.03933002401</v>
      </c>
      <c r="T22" s="162">
        <f t="shared" si="9"/>
        <v>0</v>
      </c>
      <c r="U22" s="114">
        <f t="shared" si="10"/>
        <v>11.463056777275725</v>
      </c>
      <c r="V22" s="114">
        <f t="shared" si="11"/>
        <v>21639.03933002401</v>
      </c>
      <c r="W22" s="114">
        <f t="shared" si="12"/>
        <v>100.15632937190821</v>
      </c>
      <c r="X22" s="209">
        <f t="shared" si="13"/>
        <v>-4.1211478674085811E-13</v>
      </c>
    </row>
    <row r="23" spans="1:24">
      <c r="A23" s="216"/>
      <c r="B23" s="153">
        <v>20</v>
      </c>
      <c r="C23" s="204" t="s">
        <v>222</v>
      </c>
      <c r="D23" s="206">
        <f>+'Company Regulated Cust Count'!AC29</f>
        <v>9.2355939716312054</v>
      </c>
      <c r="E23" s="103">
        <f>+References!B13</f>
        <v>1</v>
      </c>
      <c r="F23" s="206">
        <f t="shared" si="1"/>
        <v>110.82712765957447</v>
      </c>
      <c r="G23" s="206">
        <f>+References!B25</f>
        <v>47</v>
      </c>
      <c r="H23" s="206">
        <f t="shared" si="2"/>
        <v>5208.875</v>
      </c>
      <c r="I23" s="206">
        <f t="shared" si="0"/>
        <v>4809.4962958916767</v>
      </c>
      <c r="J23" s="162">
        <f>+I23*References!$C$55</f>
        <v>3.6792646663571413</v>
      </c>
      <c r="K23" s="162">
        <f>+J23/References!$G$58</f>
        <v>3.7515762995305937</v>
      </c>
      <c r="L23" s="162">
        <f t="shared" si="3"/>
        <v>3.3850704053742485E-2</v>
      </c>
      <c r="M23" s="162">
        <f>+'Proposed Rates'!B36</f>
        <v>9.4499999999999993</v>
      </c>
      <c r="N23" s="162">
        <f t="shared" si="4"/>
        <v>9.4838507040537419</v>
      </c>
      <c r="O23" s="162">
        <f>+'Proposed Rates'!D36</f>
        <v>9.4838507040537419</v>
      </c>
      <c r="P23" s="162">
        <f t="shared" si="5"/>
        <v>1047.3163563829785</v>
      </c>
      <c r="Q23" s="162">
        <f t="shared" si="6"/>
        <v>1051.0679326825091</v>
      </c>
      <c r="R23" s="162">
        <f t="shared" si="7"/>
        <v>3.7515762995305977</v>
      </c>
      <c r="S23" s="162">
        <f t="shared" si="8"/>
        <v>1051.0679326825091</v>
      </c>
      <c r="T23" s="162">
        <f t="shared" si="9"/>
        <v>0</v>
      </c>
      <c r="U23" s="114">
        <f t="shared" si="10"/>
        <v>9.4838507040537419</v>
      </c>
      <c r="V23" s="114">
        <f t="shared" si="11"/>
        <v>1051.0679326825091</v>
      </c>
      <c r="W23" s="114">
        <f t="shared" si="12"/>
        <v>3.7515762995305977</v>
      </c>
      <c r="X23" s="209">
        <f t="shared" si="13"/>
        <v>3.9968028886505635E-15</v>
      </c>
    </row>
    <row r="24" spans="1:24">
      <c r="A24" s="216"/>
      <c r="B24" s="153">
        <v>20</v>
      </c>
      <c r="C24" s="204" t="s">
        <v>224</v>
      </c>
      <c r="D24" s="206">
        <f>+'Company Regulated Cust Count'!AC30</f>
        <v>87.783772351427217</v>
      </c>
      <c r="E24" s="103">
        <f>+References!B13</f>
        <v>1</v>
      </c>
      <c r="F24" s="206">
        <f t="shared" si="1"/>
        <v>1053.4052682171266</v>
      </c>
      <c r="G24" s="206">
        <f>+References!B25</f>
        <v>47</v>
      </c>
      <c r="H24" s="206">
        <f t="shared" si="2"/>
        <v>49510.047606204949</v>
      </c>
      <c r="I24" s="206">
        <f t="shared" si="0"/>
        <v>45713.976736140394</v>
      </c>
      <c r="J24" s="162">
        <f>+I24*References!$C$55</f>
        <v>34.971192203147481</v>
      </c>
      <c r="K24" s="162">
        <f>+J24/References!$G$58</f>
        <v>35.658509983071177</v>
      </c>
      <c r="L24" s="162">
        <f t="shared" si="3"/>
        <v>3.3850704053742485E-2</v>
      </c>
      <c r="M24" s="162">
        <f>+'Proposed Rates'!B20</f>
        <v>11.45</v>
      </c>
      <c r="N24" s="162">
        <f t="shared" si="4"/>
        <v>11.483850704053742</v>
      </c>
      <c r="O24" s="162">
        <f>+'Proposed Rates'!D20</f>
        <v>11.483850704053742</v>
      </c>
      <c r="P24" s="162">
        <f t="shared" si="5"/>
        <v>12061.490321086099</v>
      </c>
      <c r="Q24" s="162">
        <f t="shared" si="6"/>
        <v>12097.148831069171</v>
      </c>
      <c r="R24" s="162">
        <f t="shared" si="7"/>
        <v>35.658509983071781</v>
      </c>
      <c r="S24" s="162">
        <f t="shared" si="8"/>
        <v>12097.148831069171</v>
      </c>
      <c r="T24" s="162">
        <f t="shared" si="9"/>
        <v>0</v>
      </c>
      <c r="U24" s="114">
        <f t="shared" si="10"/>
        <v>11.483850704053742</v>
      </c>
      <c r="V24" s="114">
        <f t="shared" si="11"/>
        <v>12097.148831069171</v>
      </c>
      <c r="W24" s="114">
        <f t="shared" si="12"/>
        <v>35.658509983071781</v>
      </c>
      <c r="X24" s="209">
        <f t="shared" si="13"/>
        <v>6.0396132539608516E-13</v>
      </c>
    </row>
    <row r="25" spans="1:24">
      <c r="A25" s="216"/>
      <c r="B25" s="153">
        <v>20</v>
      </c>
      <c r="C25" s="204" t="s">
        <v>226</v>
      </c>
      <c r="D25" s="206">
        <f>+'Company Regulated Cust Count'!AC31</f>
        <v>469.18632050119732</v>
      </c>
      <c r="E25" s="103">
        <f>+References!B13</f>
        <v>1</v>
      </c>
      <c r="F25" s="206">
        <f t="shared" si="1"/>
        <v>5630.2358460143678</v>
      </c>
      <c r="G25" s="206">
        <f>+References!B25</f>
        <v>47</v>
      </c>
      <c r="H25" s="206">
        <f t="shared" si="2"/>
        <v>264621.08476267528</v>
      </c>
      <c r="I25" s="206">
        <f t="shared" si="0"/>
        <v>244331.86186670332</v>
      </c>
      <c r="J25" s="162">
        <f>+I25*References!$C$55</f>
        <v>186.91387432802847</v>
      </c>
      <c r="K25" s="162">
        <f>+J25/References!$G$58</f>
        <v>190.58744737620484</v>
      </c>
      <c r="L25" s="162">
        <f t="shared" si="3"/>
        <v>3.3850704053742492E-2</v>
      </c>
      <c r="M25" s="162">
        <f>+'Proposed Rates'!B36</f>
        <v>9.4499999999999993</v>
      </c>
      <c r="N25" s="162">
        <f t="shared" si="4"/>
        <v>9.4838507040537419</v>
      </c>
      <c r="O25" s="162">
        <f>+'Proposed Rates'!D36</f>
        <v>9.4838507040537419</v>
      </c>
      <c r="P25" s="162">
        <f t="shared" si="5"/>
        <v>53205.728744835775</v>
      </c>
      <c r="Q25" s="162">
        <f t="shared" si="6"/>
        <v>53396.316192211976</v>
      </c>
      <c r="R25" s="162">
        <f t="shared" si="7"/>
        <v>190.58744737620145</v>
      </c>
      <c r="S25" s="162">
        <f t="shared" si="8"/>
        <v>53396.316192211976</v>
      </c>
      <c r="T25" s="162">
        <f t="shared" si="9"/>
        <v>0</v>
      </c>
      <c r="U25" s="114">
        <f t="shared" si="10"/>
        <v>9.4838507040537419</v>
      </c>
      <c r="V25" s="114">
        <f t="shared" si="11"/>
        <v>53396.316192211976</v>
      </c>
      <c r="W25" s="114">
        <f t="shared" si="12"/>
        <v>190.58744737620145</v>
      </c>
      <c r="X25" s="209">
        <f t="shared" si="13"/>
        <v>-3.3821834222180769E-12</v>
      </c>
    </row>
    <row r="26" spans="1:24">
      <c r="A26" s="216"/>
      <c r="B26" s="153">
        <v>20</v>
      </c>
      <c r="C26" s="204" t="s">
        <v>228</v>
      </c>
      <c r="D26" s="206">
        <f>+'Company Regulated Cust Count'!AC32</f>
        <v>0.25</v>
      </c>
      <c r="E26" s="103">
        <f>+References!B13</f>
        <v>1</v>
      </c>
      <c r="F26" s="206">
        <f t="shared" si="1"/>
        <v>3</v>
      </c>
      <c r="G26" s="206">
        <f>+References!B25*2</f>
        <v>94</v>
      </c>
      <c r="H26" s="206">
        <f t="shared" si="2"/>
        <v>282</v>
      </c>
      <c r="I26" s="206">
        <f t="shared" si="0"/>
        <v>260.37828810279626</v>
      </c>
      <c r="J26" s="162">
        <f>+I26*References!$C$55</f>
        <v>0.19918939039863962</v>
      </c>
      <c r="K26" s="162">
        <f>+J26/References!$G$58</f>
        <v>0.20310422432245495</v>
      </c>
      <c r="L26" s="162">
        <f t="shared" si="3"/>
        <v>6.7701408107484984E-2</v>
      </c>
      <c r="M26" s="162">
        <f>+'Proposed Rates'!B20*2</f>
        <v>22.9</v>
      </c>
      <c r="N26" s="162">
        <f t="shared" si="4"/>
        <v>22.967701408107484</v>
      </c>
      <c r="O26" s="162">
        <f>+'Proposed Rates'!D20*2</f>
        <v>22.967701408107484</v>
      </c>
      <c r="P26" s="162">
        <f t="shared" si="5"/>
        <v>68.699999999999989</v>
      </c>
      <c r="Q26" s="162">
        <f t="shared" si="6"/>
        <v>68.903104224322448</v>
      </c>
      <c r="R26" s="162">
        <f t="shared" si="7"/>
        <v>0.203104224322459</v>
      </c>
      <c r="S26" s="162">
        <f t="shared" si="8"/>
        <v>68.903104224322448</v>
      </c>
      <c r="T26" s="162">
        <f t="shared" si="9"/>
        <v>0</v>
      </c>
      <c r="U26" s="114">
        <f t="shared" si="10"/>
        <v>22.967701408107484</v>
      </c>
      <c r="V26" s="114">
        <f t="shared" si="11"/>
        <v>68.903104224322448</v>
      </c>
      <c r="W26" s="114">
        <f t="shared" si="12"/>
        <v>0.203104224322459</v>
      </c>
      <c r="X26" s="209">
        <f t="shared" si="13"/>
        <v>4.0523140398818214E-15</v>
      </c>
    </row>
    <row r="27" spans="1:24">
      <c r="A27" s="216"/>
      <c r="B27" s="153">
        <v>20</v>
      </c>
      <c r="C27" s="204" t="s">
        <v>230</v>
      </c>
      <c r="D27" s="206">
        <f>+'Company Regulated Cust Count'!AC33</f>
        <v>7.4647306869083367</v>
      </c>
      <c r="E27" s="103">
        <f>+References!B11</f>
        <v>4.333333333333333</v>
      </c>
      <c r="F27" s="206">
        <f t="shared" si="1"/>
        <v>388.16599571923348</v>
      </c>
      <c r="G27" s="206">
        <f>+References!B25</f>
        <v>47</v>
      </c>
      <c r="H27" s="206">
        <f t="shared" si="2"/>
        <v>18243.801798803972</v>
      </c>
      <c r="I27" s="206">
        <f t="shared" si="0"/>
        <v>16844.999577515224</v>
      </c>
      <c r="J27" s="162">
        <f>+I27*References!$C$55</f>
        <v>12.886424676799177</v>
      </c>
      <c r="K27" s="162">
        <f>+J27/References!$G$58</f>
        <v>13.139692244818045</v>
      </c>
      <c r="L27" s="162">
        <f t="shared" si="3"/>
        <v>0.1466863842328841</v>
      </c>
      <c r="M27" s="162">
        <f>+'Proposed Rates'!B38</f>
        <v>25.01</v>
      </c>
      <c r="N27" s="162">
        <f t="shared" si="4"/>
        <v>25.156686384232884</v>
      </c>
      <c r="O27" s="162">
        <f>+'Proposed Rates'!D38</f>
        <v>25.156686384232884</v>
      </c>
      <c r="P27" s="162">
        <f t="shared" si="5"/>
        <v>2240.3149737549302</v>
      </c>
      <c r="Q27" s="162">
        <f t="shared" si="6"/>
        <v>2253.4546659997482</v>
      </c>
      <c r="R27" s="162">
        <f t="shared" si="7"/>
        <v>13.139692244817979</v>
      </c>
      <c r="S27" s="162">
        <f t="shared" si="8"/>
        <v>2253.4546659997482</v>
      </c>
      <c r="T27" s="162">
        <f t="shared" si="9"/>
        <v>0</v>
      </c>
      <c r="U27" s="114">
        <f t="shared" si="10"/>
        <v>25.156686384232884</v>
      </c>
      <c r="V27" s="114">
        <f t="shared" si="11"/>
        <v>2253.4546659997482</v>
      </c>
      <c r="W27" s="114">
        <f t="shared" si="12"/>
        <v>13.139692244817979</v>
      </c>
      <c r="X27" s="209">
        <f t="shared" si="13"/>
        <v>-6.5725203057809267E-14</v>
      </c>
    </row>
    <row r="28" spans="1:24">
      <c r="A28" s="216"/>
      <c r="B28" s="153">
        <v>20</v>
      </c>
      <c r="C28" s="204" t="s">
        <v>232</v>
      </c>
      <c r="D28" s="206">
        <f>+'Company Regulated Cust Count'!AC34</f>
        <v>232.34031661695249</v>
      </c>
      <c r="E28" s="103">
        <f>+References!B11</f>
        <v>4.333333333333333</v>
      </c>
      <c r="F28" s="206">
        <f t="shared" si="1"/>
        <v>12081.696464081528</v>
      </c>
      <c r="G28" s="206">
        <f>+References!B25</f>
        <v>47</v>
      </c>
      <c r="H28" s="206">
        <f t="shared" si="2"/>
        <v>567839.7338118318</v>
      </c>
      <c r="I28" s="206">
        <f t="shared" si="0"/>
        <v>524301.90711585921</v>
      </c>
      <c r="J28" s="162">
        <f>+I28*References!$C$55</f>
        <v>401.09095894363321</v>
      </c>
      <c r="K28" s="162">
        <f>+J28/References!$G$58</f>
        <v>408.97393147277091</v>
      </c>
      <c r="L28" s="162">
        <f t="shared" si="3"/>
        <v>0.14668638423288413</v>
      </c>
      <c r="M28" s="162">
        <f>+'Proposed Rates'!B22</f>
        <v>27.01</v>
      </c>
      <c r="N28" s="162">
        <f t="shared" si="4"/>
        <v>27.156686384232884</v>
      </c>
      <c r="O28" s="162">
        <f>+'Proposed Rates'!D22</f>
        <v>27.156686384232884</v>
      </c>
      <c r="P28" s="162">
        <f t="shared" si="5"/>
        <v>75306.143421886649</v>
      </c>
      <c r="Q28" s="162">
        <f t="shared" si="6"/>
        <v>75715.117353359412</v>
      </c>
      <c r="R28" s="162">
        <f t="shared" si="7"/>
        <v>408.97393147276307</v>
      </c>
      <c r="S28" s="162">
        <f t="shared" si="8"/>
        <v>75715.117353359412</v>
      </c>
      <c r="T28" s="162">
        <f t="shared" si="9"/>
        <v>0</v>
      </c>
      <c r="U28" s="114">
        <f t="shared" si="10"/>
        <v>27.156686384232884</v>
      </c>
      <c r="V28" s="114">
        <f t="shared" si="11"/>
        <v>75715.117353359412</v>
      </c>
      <c r="W28" s="114">
        <f t="shared" si="12"/>
        <v>408.97393147276307</v>
      </c>
      <c r="X28" s="209">
        <f t="shared" si="13"/>
        <v>-7.8443918027915061E-12</v>
      </c>
    </row>
    <row r="29" spans="1:24">
      <c r="A29" s="216"/>
      <c r="B29" s="153">
        <v>20</v>
      </c>
      <c r="C29" s="204" t="s">
        <v>234</v>
      </c>
      <c r="D29" s="206">
        <f>+'Company Regulated Cust Count'!AC35</f>
        <v>916.23232272361008</v>
      </c>
      <c r="E29" s="103">
        <f>+References!B11</f>
        <v>4.333333333333333</v>
      </c>
      <c r="F29" s="206">
        <f t="shared" si="1"/>
        <v>47644.080781627723</v>
      </c>
      <c r="G29" s="206">
        <f>+References!B25</f>
        <v>47</v>
      </c>
      <c r="H29" s="206">
        <f t="shared" si="2"/>
        <v>2239271.796736503</v>
      </c>
      <c r="I29" s="206">
        <f t="shared" si="0"/>
        <v>2067580.6986919271</v>
      </c>
      <c r="J29" s="162">
        <f>+I29*References!$C$55</f>
        <v>1581.699234499328</v>
      </c>
      <c r="K29" s="162">
        <f>+J29/References!$G$58</f>
        <v>1612.7856784514804</v>
      </c>
      <c r="L29" s="162">
        <f t="shared" si="3"/>
        <v>0.14668638423288413</v>
      </c>
      <c r="M29" s="162">
        <f>+'Proposed Rates'!B38</f>
        <v>25.01</v>
      </c>
      <c r="N29" s="162">
        <f t="shared" si="4"/>
        <v>25.156686384232884</v>
      </c>
      <c r="O29" s="162">
        <f>+'Proposed Rates'!D38</f>
        <v>25.156686384232884</v>
      </c>
      <c r="P29" s="162">
        <f t="shared" si="5"/>
        <v>274979.64469580987</v>
      </c>
      <c r="Q29" s="162">
        <f t="shared" si="6"/>
        <v>276592.43037426134</v>
      </c>
      <c r="R29" s="162">
        <f t="shared" si="7"/>
        <v>1612.7856784514734</v>
      </c>
      <c r="S29" s="162">
        <f t="shared" si="8"/>
        <v>276592.43037426134</v>
      </c>
      <c r="T29" s="162">
        <f t="shared" si="9"/>
        <v>0</v>
      </c>
      <c r="U29" s="114">
        <f t="shared" si="10"/>
        <v>25.156686384232884</v>
      </c>
      <c r="V29" s="114">
        <f t="shared" si="11"/>
        <v>276592.43037426134</v>
      </c>
      <c r="W29" s="114">
        <f t="shared" si="12"/>
        <v>1612.7856784514734</v>
      </c>
      <c r="X29" s="209">
        <f t="shared" si="13"/>
        <v>-7.0485839387401938E-12</v>
      </c>
    </row>
    <row r="30" spans="1:24">
      <c r="A30" s="216"/>
      <c r="B30" s="153">
        <v>20</v>
      </c>
      <c r="C30" s="204" t="s">
        <v>236</v>
      </c>
      <c r="D30" s="206">
        <f>+'Company Regulated Cust Count'!AC36</f>
        <v>0.22843640881009938</v>
      </c>
      <c r="E30" s="103">
        <f>+References!B11</f>
        <v>4.333333333333333</v>
      </c>
      <c r="F30" s="206">
        <f t="shared" si="1"/>
        <v>11.878693258125168</v>
      </c>
      <c r="G30" s="206">
        <f>+References!B25*2</f>
        <v>94</v>
      </c>
      <c r="H30" s="206">
        <f t="shared" si="2"/>
        <v>1116.5971662637658</v>
      </c>
      <c r="I30" s="206">
        <f t="shared" si="0"/>
        <v>1030.9846051496195</v>
      </c>
      <c r="J30" s="162">
        <f>+I30*References!$C$55</f>
        <v>0.78870322293946071</v>
      </c>
      <c r="K30" s="162">
        <f>+J30/References!$G$58</f>
        <v>0.80420426005196233</v>
      </c>
      <c r="L30" s="162">
        <f t="shared" si="3"/>
        <v>0.29337276846576821</v>
      </c>
      <c r="M30" s="162">
        <f>+'Proposed Rates'!B38*2</f>
        <v>50.02</v>
      </c>
      <c r="N30" s="162">
        <f t="shared" si="4"/>
        <v>50.313372768465769</v>
      </c>
      <c r="O30" s="162">
        <f>+'Proposed Rates'!D38*2</f>
        <v>50.313372768465769</v>
      </c>
      <c r="P30" s="162">
        <f t="shared" si="5"/>
        <v>137.11667002417408</v>
      </c>
      <c r="Q30" s="162">
        <f t="shared" si="6"/>
        <v>137.92087428422602</v>
      </c>
      <c r="R30" s="162">
        <f t="shared" si="7"/>
        <v>0.80420426005193235</v>
      </c>
      <c r="S30" s="162">
        <f t="shared" si="8"/>
        <v>137.92087428422602</v>
      </c>
      <c r="T30" s="162">
        <f t="shared" si="9"/>
        <v>0</v>
      </c>
      <c r="U30" s="114">
        <f t="shared" si="10"/>
        <v>50.313372768465769</v>
      </c>
      <c r="V30" s="114">
        <f t="shared" si="11"/>
        <v>137.92087428422602</v>
      </c>
      <c r="W30" s="114">
        <f t="shared" si="12"/>
        <v>0.80420426005193235</v>
      </c>
      <c r="X30" s="209">
        <f t="shared" si="13"/>
        <v>-2.9976021664879227E-14</v>
      </c>
    </row>
    <row r="31" spans="1:24">
      <c r="A31" s="216"/>
      <c r="B31" s="153">
        <v>20</v>
      </c>
      <c r="C31" s="204" t="s">
        <v>238</v>
      </c>
      <c r="D31" s="206">
        <f>+'Company Regulated Cust Count'!AC37</f>
        <v>7.3916952054794516</v>
      </c>
      <c r="E31" s="103">
        <f>+References!B11</f>
        <v>4.333333333333333</v>
      </c>
      <c r="F31" s="206">
        <f t="shared" si="1"/>
        <v>384.36815068493144</v>
      </c>
      <c r="G31" s="206">
        <f>+References!B25*2</f>
        <v>94</v>
      </c>
      <c r="H31" s="206">
        <f t="shared" si="2"/>
        <v>36130.606164383556</v>
      </c>
      <c r="I31" s="206">
        <f t="shared" si="0"/>
        <v>33360.373692193367</v>
      </c>
      <c r="J31" s="162">
        <f>+I31*References!$C$55</f>
        <v>25.520685874527985</v>
      </c>
      <c r="K31" s="162">
        <f>+J31/References!$G$58</f>
        <v>26.02226503303983</v>
      </c>
      <c r="L31" s="162">
        <f t="shared" si="3"/>
        <v>0.29337276846576826</v>
      </c>
      <c r="M31" s="162">
        <f>+'Proposed Rates'!B38*2</f>
        <v>50.02</v>
      </c>
      <c r="N31" s="162">
        <f t="shared" si="4"/>
        <v>50.313372768465769</v>
      </c>
      <c r="O31" s="162">
        <f>+'Proposed Rates'!D38*2</f>
        <v>50.313372768465769</v>
      </c>
      <c r="P31" s="162">
        <f t="shared" si="5"/>
        <v>4436.7911301369859</v>
      </c>
      <c r="Q31" s="162">
        <f t="shared" si="6"/>
        <v>4462.8133951700256</v>
      </c>
      <c r="R31" s="162">
        <f t="shared" si="7"/>
        <v>26.02226503303973</v>
      </c>
      <c r="S31" s="162">
        <f t="shared" si="8"/>
        <v>4462.8133951700256</v>
      </c>
      <c r="T31" s="162">
        <f t="shared" si="9"/>
        <v>0</v>
      </c>
      <c r="U31" s="114">
        <f t="shared" si="10"/>
        <v>50.313372768465769</v>
      </c>
      <c r="V31" s="114">
        <f t="shared" si="11"/>
        <v>4462.8133951700256</v>
      </c>
      <c r="W31" s="114">
        <f t="shared" si="12"/>
        <v>26.02226503303973</v>
      </c>
      <c r="X31" s="209">
        <f t="shared" si="13"/>
        <v>-9.9475983006414026E-14</v>
      </c>
    </row>
    <row r="32" spans="1:24">
      <c r="A32" s="216"/>
      <c r="B32" s="153">
        <v>20</v>
      </c>
      <c r="C32" s="204" t="s">
        <v>240</v>
      </c>
      <c r="D32" s="206">
        <f>+'Company Regulated Cust Count'!AC38</f>
        <v>9.1756067099407641</v>
      </c>
      <c r="E32" s="103">
        <f>+References!B12</f>
        <v>2.1666666666666665</v>
      </c>
      <c r="F32" s="206">
        <f t="shared" si="1"/>
        <v>238.56577445845983</v>
      </c>
      <c r="G32" s="206">
        <f>+References!B25</f>
        <v>47</v>
      </c>
      <c r="H32" s="206">
        <f t="shared" si="2"/>
        <v>11212.591399547611</v>
      </c>
      <c r="I32" s="206">
        <f t="shared" si="0"/>
        <v>10352.891325568595</v>
      </c>
      <c r="J32" s="162">
        <f>+I32*References!$C$55</f>
        <v>7.9199618640599931</v>
      </c>
      <c r="K32" s="162">
        <f>+J32/References!$G$58</f>
        <v>8.0756194285452025</v>
      </c>
      <c r="L32" s="162">
        <f t="shared" si="3"/>
        <v>7.3343192116442066E-2</v>
      </c>
      <c r="M32" s="162">
        <f>+'Proposed Rates'!B37</f>
        <v>16.22</v>
      </c>
      <c r="N32" s="162">
        <f t="shared" si="4"/>
        <v>16.293343192116442</v>
      </c>
      <c r="O32" s="162">
        <f>+'Proposed Rates'!D37</f>
        <v>16.293343192116442</v>
      </c>
      <c r="P32" s="162">
        <f t="shared" si="5"/>
        <v>1785.9400900228702</v>
      </c>
      <c r="Q32" s="162">
        <f t="shared" si="6"/>
        <v>1794.0157094514157</v>
      </c>
      <c r="R32" s="162">
        <f t="shared" si="7"/>
        <v>8.0756194285454512</v>
      </c>
      <c r="S32" s="162">
        <f t="shared" si="8"/>
        <v>1794.0157094514157</v>
      </c>
      <c r="T32" s="162">
        <f t="shared" si="9"/>
        <v>0</v>
      </c>
      <c r="U32" s="114">
        <f t="shared" si="10"/>
        <v>16.293343192116442</v>
      </c>
      <c r="V32" s="114">
        <f t="shared" si="11"/>
        <v>1794.0157094514157</v>
      </c>
      <c r="W32" s="114">
        <f t="shared" si="12"/>
        <v>8.0756194285454512</v>
      </c>
      <c r="X32" s="209">
        <f t="shared" si="13"/>
        <v>2.4868995751603507E-13</v>
      </c>
    </row>
    <row r="33" spans="1:24">
      <c r="A33" s="216"/>
      <c r="B33" s="153">
        <v>20</v>
      </c>
      <c r="C33" s="204" t="s">
        <v>242</v>
      </c>
      <c r="D33" s="206">
        <f>+'Company Regulated Cust Count'!AC39</f>
        <v>300.20796980063113</v>
      </c>
      <c r="E33" s="103">
        <f>+References!B12</f>
        <v>2.1666666666666665</v>
      </c>
      <c r="F33" s="206">
        <f t="shared" si="1"/>
        <v>7805.4072148164096</v>
      </c>
      <c r="G33" s="206">
        <f>+References!B25</f>
        <v>47</v>
      </c>
      <c r="H33" s="206">
        <f t="shared" si="2"/>
        <v>366854.13909637125</v>
      </c>
      <c r="I33" s="206">
        <f t="shared" si="0"/>
        <v>338726.42808985192</v>
      </c>
      <c r="J33" s="162">
        <f>+I33*References!$C$55</f>
        <v>259.12571748873734</v>
      </c>
      <c r="K33" s="162">
        <f>+J33/References!$G$58</f>
        <v>264.2185296476967</v>
      </c>
      <c r="L33" s="162">
        <f t="shared" si="3"/>
        <v>7.3343192116442052E-2</v>
      </c>
      <c r="M33" s="162">
        <f>+'Proposed Rates'!B21</f>
        <v>18.22</v>
      </c>
      <c r="N33" s="162">
        <f t="shared" si="4"/>
        <v>18.293343192116442</v>
      </c>
      <c r="O33" s="162">
        <f>+'Proposed Rates'!D21</f>
        <v>18.293343192116442</v>
      </c>
      <c r="P33" s="162">
        <f t="shared" si="5"/>
        <v>65637.470517209978</v>
      </c>
      <c r="Q33" s="162">
        <f t="shared" si="6"/>
        <v>65901.689046857689</v>
      </c>
      <c r="R33" s="162">
        <f t="shared" si="7"/>
        <v>264.21852964771097</v>
      </c>
      <c r="S33" s="162">
        <f t="shared" si="8"/>
        <v>65901.689046857689</v>
      </c>
      <c r="T33" s="162">
        <f t="shared" si="9"/>
        <v>0</v>
      </c>
      <c r="U33" s="114">
        <f t="shared" si="10"/>
        <v>18.293343192116442</v>
      </c>
      <c r="V33" s="114">
        <f t="shared" si="11"/>
        <v>65901.689046857689</v>
      </c>
      <c r="W33" s="114">
        <f t="shared" si="12"/>
        <v>264.21852964771097</v>
      </c>
      <c r="X33" s="209">
        <f t="shared" si="13"/>
        <v>1.4267698134062812E-11</v>
      </c>
    </row>
    <row r="34" spans="1:24">
      <c r="A34" s="216"/>
      <c r="B34" s="153">
        <v>20</v>
      </c>
      <c r="C34" s="204" t="s">
        <v>244</v>
      </c>
      <c r="D34" s="206">
        <f>+'Company Regulated Cust Count'!AC40</f>
        <v>1858.1437698683594</v>
      </c>
      <c r="E34" s="103">
        <f>+References!B12</f>
        <v>2.1666666666666665</v>
      </c>
      <c r="F34" s="206">
        <f t="shared" si="1"/>
        <v>48311.738016577343</v>
      </c>
      <c r="G34" s="206">
        <f>+References!B25</f>
        <v>47</v>
      </c>
      <c r="H34" s="206">
        <f t="shared" si="2"/>
        <v>2270651.6867791349</v>
      </c>
      <c r="I34" s="206">
        <f t="shared" si="0"/>
        <v>2096554.6066711983</v>
      </c>
      <c r="J34" s="162">
        <f>+I34*References!$C$55</f>
        <v>1603.8642741034705</v>
      </c>
      <c r="K34" s="162">
        <f>+J34/References!$G$58</f>
        <v>1635.3863459210997</v>
      </c>
      <c r="L34" s="162">
        <f t="shared" si="3"/>
        <v>7.3343192116442052E-2</v>
      </c>
      <c r="M34" s="162">
        <f>+'Proposed Rates'!B37</f>
        <v>16.22</v>
      </c>
      <c r="N34" s="162">
        <f t="shared" si="4"/>
        <v>16.293343192116442</v>
      </c>
      <c r="O34" s="162">
        <f>+'Proposed Rates'!D37</f>
        <v>16.293343192116442</v>
      </c>
      <c r="P34" s="162">
        <f t="shared" si="5"/>
        <v>361669.10336717742</v>
      </c>
      <c r="Q34" s="162">
        <f t="shared" si="6"/>
        <v>363304.48971309856</v>
      </c>
      <c r="R34" s="162">
        <f t="shared" si="7"/>
        <v>1635.3863459211425</v>
      </c>
      <c r="S34" s="162">
        <f t="shared" si="8"/>
        <v>363304.48971309856</v>
      </c>
      <c r="T34" s="162">
        <f t="shared" si="9"/>
        <v>0</v>
      </c>
      <c r="U34" s="114">
        <f t="shared" si="10"/>
        <v>16.293343192116442</v>
      </c>
      <c r="V34" s="114">
        <f t="shared" si="11"/>
        <v>363304.48971309856</v>
      </c>
      <c r="W34" s="114">
        <f t="shared" si="12"/>
        <v>1635.3863459211425</v>
      </c>
      <c r="X34" s="209">
        <f t="shared" si="13"/>
        <v>4.2746250983327627E-11</v>
      </c>
    </row>
    <row r="35" spans="1:24">
      <c r="A35" s="216"/>
      <c r="B35" s="153">
        <v>20</v>
      </c>
      <c r="C35" s="204" t="s">
        <v>246</v>
      </c>
      <c r="D35" s="206">
        <f>+'Company Regulated Cust Count'!AC41</f>
        <v>0.33333333333333331</v>
      </c>
      <c r="E35" s="103">
        <f>+References!B12</f>
        <v>2.1666666666666665</v>
      </c>
      <c r="F35" s="206">
        <f t="shared" si="1"/>
        <v>8.6666666666666643</v>
      </c>
      <c r="G35" s="206">
        <f>+References!B25*2</f>
        <v>94</v>
      </c>
      <c r="H35" s="206">
        <f t="shared" si="2"/>
        <v>814.6666666666664</v>
      </c>
      <c r="I35" s="206">
        <f t="shared" si="0"/>
        <v>752.20394340807786</v>
      </c>
      <c r="J35" s="162">
        <f>+I35*References!$C$55</f>
        <v>0.57543601670718092</v>
      </c>
      <c r="K35" s="162">
        <f>+J35/References!$G$58</f>
        <v>0.5867455369315363</v>
      </c>
      <c r="L35" s="162">
        <f t="shared" si="3"/>
        <v>0.1466863842328841</v>
      </c>
      <c r="M35" s="162">
        <f>+'Proposed Rates'!B21*2</f>
        <v>36.44</v>
      </c>
      <c r="N35" s="162">
        <f t="shared" si="4"/>
        <v>36.586686384232884</v>
      </c>
      <c r="O35" s="162">
        <f>+'Proposed Rates'!D21*2</f>
        <v>36.586686384232884</v>
      </c>
      <c r="P35" s="162">
        <f t="shared" si="5"/>
        <v>145.76</v>
      </c>
      <c r="Q35" s="162">
        <f t="shared" si="6"/>
        <v>146.34674553693154</v>
      </c>
      <c r="R35" s="162">
        <f t="shared" si="7"/>
        <v>0.58674553693154508</v>
      </c>
      <c r="S35" s="162">
        <f t="shared" si="8"/>
        <v>146.34674553693154</v>
      </c>
      <c r="T35" s="162">
        <f t="shared" si="9"/>
        <v>0</v>
      </c>
      <c r="U35" s="114">
        <f t="shared" si="10"/>
        <v>36.586686384232884</v>
      </c>
      <c r="V35" s="114">
        <f t="shared" si="11"/>
        <v>146.34674553693154</v>
      </c>
      <c r="W35" s="114">
        <f t="shared" si="12"/>
        <v>0.58674553693154508</v>
      </c>
      <c r="X35" s="209">
        <f t="shared" si="13"/>
        <v>8.7707618945387367E-15</v>
      </c>
    </row>
    <row r="36" spans="1:24">
      <c r="A36" s="216"/>
      <c r="B36" s="153">
        <v>20</v>
      </c>
      <c r="C36" s="204" t="s">
        <v>248</v>
      </c>
      <c r="D36" s="206">
        <f>+'Company Regulated Cust Count'!AC42</f>
        <v>1</v>
      </c>
      <c r="E36" s="103">
        <f>+References!B12</f>
        <v>2.1666666666666665</v>
      </c>
      <c r="F36" s="206">
        <f t="shared" si="1"/>
        <v>26</v>
      </c>
      <c r="G36" s="206">
        <f>+References!B25*2</f>
        <v>94</v>
      </c>
      <c r="H36" s="206">
        <f t="shared" si="2"/>
        <v>2444</v>
      </c>
      <c r="I36" s="206">
        <f t="shared" si="0"/>
        <v>2256.6118302242344</v>
      </c>
      <c r="J36" s="162">
        <f>+I36*References!$C$55</f>
        <v>1.7263080501215433</v>
      </c>
      <c r="K36" s="162">
        <f>+J36/References!$G$58</f>
        <v>1.7602366107946095</v>
      </c>
      <c r="L36" s="162">
        <f t="shared" si="3"/>
        <v>0.14668638423288413</v>
      </c>
      <c r="M36" s="162">
        <f>+'Proposed Rates'!B37*2</f>
        <v>32.44</v>
      </c>
      <c r="N36" s="162">
        <f t="shared" si="4"/>
        <v>32.586686384232884</v>
      </c>
      <c r="O36" s="162">
        <f>+'Proposed Rates'!D37*2</f>
        <v>32.586686384232884</v>
      </c>
      <c r="P36" s="162">
        <f t="shared" si="5"/>
        <v>389.28</v>
      </c>
      <c r="Q36" s="162">
        <f t="shared" si="6"/>
        <v>391.04023661079464</v>
      </c>
      <c r="R36" s="162">
        <f t="shared" si="7"/>
        <v>1.7602366107946636</v>
      </c>
      <c r="S36" s="162">
        <f t="shared" si="8"/>
        <v>391.04023661079464</v>
      </c>
      <c r="T36" s="162">
        <f t="shared" si="9"/>
        <v>0</v>
      </c>
      <c r="U36" s="114">
        <f t="shared" si="10"/>
        <v>32.586686384232884</v>
      </c>
      <c r="V36" s="114">
        <f t="shared" si="11"/>
        <v>391.04023661079464</v>
      </c>
      <c r="W36" s="114">
        <f t="shared" si="12"/>
        <v>1.7602366107946636</v>
      </c>
      <c r="X36" s="209">
        <f t="shared" si="13"/>
        <v>5.4178883601707639E-14</v>
      </c>
    </row>
    <row r="37" spans="1:24">
      <c r="A37" s="216"/>
      <c r="B37" s="153">
        <v>20</v>
      </c>
      <c r="C37" s="204" t="s">
        <v>250</v>
      </c>
      <c r="D37" s="206">
        <f>+'Company Regulated Cust Count'!AC43</f>
        <v>0.45833333333333331</v>
      </c>
      <c r="E37" s="103">
        <f>+References!B12</f>
        <v>2.1666666666666665</v>
      </c>
      <c r="F37" s="206">
        <f t="shared" si="1"/>
        <v>11.916666666666666</v>
      </c>
      <c r="G37" s="206">
        <f>+References!B25*3</f>
        <v>141</v>
      </c>
      <c r="H37" s="206">
        <f t="shared" si="2"/>
        <v>1680.25</v>
      </c>
      <c r="I37" s="206">
        <f t="shared" si="0"/>
        <v>1551.4206332791612</v>
      </c>
      <c r="J37" s="162">
        <f>+I37*References!$C$55</f>
        <v>1.186836784458561</v>
      </c>
      <c r="K37" s="162">
        <f>+J37/References!$G$58</f>
        <v>1.210162669921294</v>
      </c>
      <c r="L37" s="162">
        <f t="shared" si="3"/>
        <v>0.22002957634932618</v>
      </c>
      <c r="M37" s="162">
        <f>+'Proposed Rates'!B21*3</f>
        <v>54.66</v>
      </c>
      <c r="N37" s="162">
        <f t="shared" si="4"/>
        <v>54.880029576349322</v>
      </c>
      <c r="O37" s="162">
        <f>+'Proposed Rates'!D21*3</f>
        <v>54.88002957634933</v>
      </c>
      <c r="P37" s="162">
        <f t="shared" si="5"/>
        <v>300.63</v>
      </c>
      <c r="Q37" s="162">
        <f t="shared" si="6"/>
        <v>301.84016266992131</v>
      </c>
      <c r="R37" s="162">
        <f t="shared" si="7"/>
        <v>1.210162669921317</v>
      </c>
      <c r="S37" s="162">
        <f t="shared" si="8"/>
        <v>301.84016266992126</v>
      </c>
      <c r="T37" s="162">
        <f t="shared" si="9"/>
        <v>0</v>
      </c>
      <c r="U37" s="114">
        <f t="shared" si="10"/>
        <v>54.880029576349322</v>
      </c>
      <c r="V37" s="114">
        <f t="shared" si="11"/>
        <v>301.84016266992126</v>
      </c>
      <c r="W37" s="114">
        <f t="shared" si="12"/>
        <v>1.2101626699212602</v>
      </c>
      <c r="X37" s="209">
        <f t="shared" si="13"/>
        <v>-3.3750779948604759E-14</v>
      </c>
    </row>
    <row r="38" spans="1:24">
      <c r="A38" s="216"/>
      <c r="B38" s="153">
        <v>20</v>
      </c>
      <c r="C38" s="204" t="s">
        <v>252</v>
      </c>
      <c r="D38" s="101">
        <f>+'Company Regulated Cust Count'!AC44</f>
        <v>5.8769588313413008</v>
      </c>
      <c r="E38" s="113">
        <f>+References!B13</f>
        <v>1</v>
      </c>
      <c r="F38" s="101">
        <f t="shared" si="1"/>
        <v>70.523505976095606</v>
      </c>
      <c r="G38" s="101">
        <f>+References!B26</f>
        <v>68</v>
      </c>
      <c r="H38" s="101">
        <f t="shared" si="2"/>
        <v>4795.5984063745009</v>
      </c>
      <c r="I38" s="101">
        <f t="shared" si="0"/>
        <v>4427.9067499301082</v>
      </c>
      <c r="J38" s="115">
        <f>+I38*References!$C$55</f>
        <v>3.3873486636965406</v>
      </c>
      <c r="K38" s="115">
        <f>+J38/References!$G$58</f>
        <v>3.4539230301017523</v>
      </c>
      <c r="L38" s="115">
        <f t="shared" si="3"/>
        <v>4.8975486716052966E-2</v>
      </c>
      <c r="M38" s="115">
        <f>+'Proposed Rates'!B39</f>
        <v>12.61</v>
      </c>
      <c r="N38" s="115">
        <f t="shared" si="4"/>
        <v>12.658975486716052</v>
      </c>
      <c r="O38" s="115">
        <f>+'Proposed Rates'!D39</f>
        <v>12.658975486716052</v>
      </c>
      <c r="P38" s="115">
        <f t="shared" si="5"/>
        <v>889.30141035856559</v>
      </c>
      <c r="Q38" s="115">
        <f t="shared" si="6"/>
        <v>892.7553333886674</v>
      </c>
      <c r="R38" s="115">
        <f t="shared" si="7"/>
        <v>3.4539230301018051</v>
      </c>
      <c r="S38" s="115">
        <f t="shared" si="8"/>
        <v>892.7553333886674</v>
      </c>
      <c r="T38" s="115">
        <f t="shared" si="9"/>
        <v>0</v>
      </c>
      <c r="U38" s="114">
        <f t="shared" si="10"/>
        <v>12.658975486716052</v>
      </c>
      <c r="V38" s="114">
        <f t="shared" si="11"/>
        <v>892.7553333886674</v>
      </c>
      <c r="W38" s="114">
        <f t="shared" si="12"/>
        <v>3.4539230301018051</v>
      </c>
      <c r="X38" s="209">
        <f t="shared" si="13"/>
        <v>5.2846615972157451E-14</v>
      </c>
    </row>
    <row r="39" spans="1:24">
      <c r="A39" s="216"/>
      <c r="B39" s="153">
        <v>20</v>
      </c>
      <c r="C39" s="204" t="s">
        <v>254</v>
      </c>
      <c r="D39" s="101">
        <f>+'Company Regulated Cust Count'!AC45</f>
        <v>12.873911798396335</v>
      </c>
      <c r="E39" s="113">
        <f>+References!B13</f>
        <v>1</v>
      </c>
      <c r="F39" s="101">
        <f t="shared" si="1"/>
        <v>154.48694158075602</v>
      </c>
      <c r="G39" s="101">
        <f>+References!B26</f>
        <v>68</v>
      </c>
      <c r="H39" s="101">
        <f t="shared" si="2"/>
        <v>10505.11202749141</v>
      </c>
      <c r="I39" s="101">
        <f t="shared" ref="I39:I59" si="14">+H39*$D$165</f>
        <v>9699.656333497549</v>
      </c>
      <c r="J39" s="115">
        <f>+I39*References!$C$55</f>
        <v>7.4202370951256427</v>
      </c>
      <c r="K39" s="115">
        <f>+J39/References!$G$58</f>
        <v>7.566073155191968</v>
      </c>
      <c r="L39" s="115">
        <f t="shared" si="3"/>
        <v>4.8975486716052972E-2</v>
      </c>
      <c r="M39" s="115">
        <f>+'Proposed Rates'!B23</f>
        <v>14.61</v>
      </c>
      <c r="N39" s="115">
        <f t="shared" si="4"/>
        <v>14.658975486716052</v>
      </c>
      <c r="O39" s="115">
        <f>+'Proposed Rates'!D23</f>
        <v>14.658975486716052</v>
      </c>
      <c r="P39" s="115">
        <f t="shared" si="5"/>
        <v>2257.0542164948456</v>
      </c>
      <c r="Q39" s="115">
        <f t="shared" si="6"/>
        <v>2264.6202896500372</v>
      </c>
      <c r="R39" s="115">
        <f t="shared" si="7"/>
        <v>7.5660731551915887</v>
      </c>
      <c r="S39" s="115">
        <f t="shared" si="8"/>
        <v>2264.6202896500372</v>
      </c>
      <c r="T39" s="115">
        <f t="shared" si="9"/>
        <v>0</v>
      </c>
      <c r="U39" s="114">
        <f t="shared" si="10"/>
        <v>14.658975486716052</v>
      </c>
      <c r="V39" s="114">
        <f t="shared" si="11"/>
        <v>2264.6202896500372</v>
      </c>
      <c r="W39" s="114">
        <f t="shared" si="12"/>
        <v>7.5660731551915887</v>
      </c>
      <c r="X39" s="209">
        <f t="shared" si="13"/>
        <v>-3.7925218521195347E-13</v>
      </c>
    </row>
    <row r="40" spans="1:24">
      <c r="A40" s="216"/>
      <c r="B40" s="153">
        <v>20</v>
      </c>
      <c r="C40" s="204" t="s">
        <v>256</v>
      </c>
      <c r="D40" s="101">
        <f>+'Company Regulated Cust Count'!AC46</f>
        <v>51.04355909694555</v>
      </c>
      <c r="E40" s="113">
        <f>+References!B13</f>
        <v>1</v>
      </c>
      <c r="F40" s="101">
        <f t="shared" si="1"/>
        <v>612.52270916334658</v>
      </c>
      <c r="G40" s="101">
        <f>+References!B26</f>
        <v>68</v>
      </c>
      <c r="H40" s="101">
        <f t="shared" si="2"/>
        <v>41651.544223107565</v>
      </c>
      <c r="I40" s="101">
        <f t="shared" si="14"/>
        <v>38458.006317910149</v>
      </c>
      <c r="J40" s="115">
        <f>+I40*References!$C$55</f>
        <v>29.420374833201333</v>
      </c>
      <c r="K40" s="115">
        <f>+J40/References!$G$58</f>
        <v>29.998597805910254</v>
      </c>
      <c r="L40" s="115">
        <f t="shared" si="3"/>
        <v>4.8975486716052966E-2</v>
      </c>
      <c r="M40" s="115">
        <f>+'Proposed Rates'!B39</f>
        <v>12.61</v>
      </c>
      <c r="N40" s="115">
        <f t="shared" si="4"/>
        <v>12.658975486716052</v>
      </c>
      <c r="O40" s="115">
        <f>+'Proposed Rates'!D39</f>
        <v>12.658975486716052</v>
      </c>
      <c r="P40" s="115">
        <f t="shared" si="5"/>
        <v>7723.9113625498012</v>
      </c>
      <c r="Q40" s="115">
        <f t="shared" si="6"/>
        <v>7753.9099603557097</v>
      </c>
      <c r="R40" s="115">
        <f t="shared" si="7"/>
        <v>29.998597805908503</v>
      </c>
      <c r="S40" s="115">
        <f t="shared" si="8"/>
        <v>7753.9099603557097</v>
      </c>
      <c r="T40" s="115">
        <f t="shared" si="9"/>
        <v>0</v>
      </c>
      <c r="U40" s="114">
        <f t="shared" si="10"/>
        <v>12.658975486716052</v>
      </c>
      <c r="V40" s="114">
        <f t="shared" si="11"/>
        <v>7753.9099603557097</v>
      </c>
      <c r="W40" s="114">
        <f t="shared" si="12"/>
        <v>29.998597805908503</v>
      </c>
      <c r="X40" s="209">
        <f t="shared" si="13"/>
        <v>-1.751487843648647E-12</v>
      </c>
    </row>
    <row r="41" spans="1:24">
      <c r="A41" s="216"/>
      <c r="B41" s="153">
        <v>20</v>
      </c>
      <c r="C41" s="204" t="s">
        <v>258</v>
      </c>
      <c r="D41" s="101">
        <f>+'Company Regulated Cust Count'!AC47</f>
        <v>0.25</v>
      </c>
      <c r="E41" s="155">
        <f>+References!B13</f>
        <v>1</v>
      </c>
      <c r="F41" s="101">
        <f t="shared" si="1"/>
        <v>3</v>
      </c>
      <c r="G41" s="101">
        <f>+References!B26*2</f>
        <v>136</v>
      </c>
      <c r="H41" s="101">
        <f t="shared" si="2"/>
        <v>408</v>
      </c>
      <c r="I41" s="101">
        <f t="shared" si="14"/>
        <v>376.71752321255633</v>
      </c>
      <c r="J41" s="115">
        <f>+I41*References!$C$55</f>
        <v>0.28818890525760626</v>
      </c>
      <c r="K41" s="115">
        <f>+J41/References!$G$58</f>
        <v>0.29385292029631782</v>
      </c>
      <c r="L41" s="115">
        <f t="shared" si="3"/>
        <v>9.7950973432105945E-2</v>
      </c>
      <c r="M41" s="115">
        <f>+'Proposed Rates'!B39*2</f>
        <v>25.22</v>
      </c>
      <c r="N41" s="115">
        <f t="shared" si="4"/>
        <v>25.317950973432104</v>
      </c>
      <c r="O41" s="115">
        <f>+'Proposed Rates'!D39*2</f>
        <v>25.317950973432104</v>
      </c>
      <c r="P41" s="115">
        <f t="shared" si="5"/>
        <v>75.66</v>
      </c>
      <c r="Q41" s="115">
        <f t="shared" si="6"/>
        <v>75.953852920296313</v>
      </c>
      <c r="R41" s="115">
        <f t="shared" si="7"/>
        <v>0.29385292029631671</v>
      </c>
      <c r="S41" s="115">
        <f t="shared" si="8"/>
        <v>75.953852920296313</v>
      </c>
      <c r="T41" s="115">
        <f t="shared" si="9"/>
        <v>0</v>
      </c>
      <c r="U41" s="114">
        <f t="shared" si="10"/>
        <v>25.317950973432104</v>
      </c>
      <c r="V41" s="114">
        <f t="shared" si="11"/>
        <v>75.953852920296313</v>
      </c>
      <c r="W41" s="114">
        <f t="shared" si="12"/>
        <v>0.29385292029631671</v>
      </c>
      <c r="X41" s="209">
        <f t="shared" si="13"/>
        <v>-1.1102230246251565E-15</v>
      </c>
    </row>
    <row r="42" spans="1:24">
      <c r="A42" s="216"/>
      <c r="B42" s="153">
        <v>20</v>
      </c>
      <c r="C42" s="204" t="s">
        <v>260</v>
      </c>
      <c r="D42" s="101">
        <f>+'Company Regulated Cust Count'!AC48</f>
        <v>5.9732787204991311E-4</v>
      </c>
      <c r="E42" s="113">
        <f>+References!B11</f>
        <v>4.333333333333333</v>
      </c>
      <c r="F42" s="101">
        <f t="shared" si="1"/>
        <v>3.1061049346595478E-2</v>
      </c>
      <c r="G42" s="101">
        <f>+References!B26</f>
        <v>68</v>
      </c>
      <c r="H42" s="101">
        <f t="shared" si="2"/>
        <v>2.1121513555684923</v>
      </c>
      <c r="I42" s="101">
        <f t="shared" si="14"/>
        <v>1.9502069297054063</v>
      </c>
      <c r="J42" s="115">
        <f>+I42*References!$C$55</f>
        <v>1.4919083012246393E-3</v>
      </c>
      <c r="K42" s="115">
        <f>+J42/References!$G$58</f>
        <v>1.5212300096608523E-3</v>
      </c>
      <c r="L42" s="115">
        <f t="shared" si="3"/>
        <v>0.21222710910289613</v>
      </c>
      <c r="M42" s="115">
        <f>+'Proposed Rates'!B41</f>
        <v>34.46</v>
      </c>
      <c r="N42" s="115">
        <f t="shared" si="4"/>
        <v>34.672227109102899</v>
      </c>
      <c r="O42" s="115">
        <f>+'Proposed Rates'!D41</f>
        <v>34.672227109102899</v>
      </c>
      <c r="P42" s="115">
        <f t="shared" si="5"/>
        <v>0.24700702165008007</v>
      </c>
      <c r="Q42" s="115">
        <f t="shared" si="6"/>
        <v>0.24852825165974096</v>
      </c>
      <c r="R42" s="115">
        <f t="shared" si="7"/>
        <v>1.5212300096608955E-3</v>
      </c>
      <c r="S42" s="115">
        <f t="shared" si="8"/>
        <v>0.24852825165974096</v>
      </c>
      <c r="T42" s="115">
        <f t="shared" si="9"/>
        <v>0</v>
      </c>
      <c r="U42" s="114">
        <f t="shared" si="10"/>
        <v>34.672227109102899</v>
      </c>
      <c r="V42" s="114">
        <f t="shared" si="11"/>
        <v>0.24852825165974096</v>
      </c>
      <c r="W42" s="114">
        <f t="shared" si="12"/>
        <v>1.5212300096608955E-3</v>
      </c>
      <c r="X42" s="209">
        <f t="shared" si="13"/>
        <v>4.3151246464923076E-17</v>
      </c>
    </row>
    <row r="43" spans="1:24">
      <c r="A43" s="216"/>
      <c r="B43" s="153">
        <v>20</v>
      </c>
      <c r="C43" s="204" t="s">
        <v>262</v>
      </c>
      <c r="D43" s="101">
        <f>+'Company Regulated Cust Count'!AC49</f>
        <v>35.88821504226113</v>
      </c>
      <c r="E43" s="113">
        <f>+References!B11</f>
        <v>4.333333333333333</v>
      </c>
      <c r="F43" s="101">
        <f t="shared" si="1"/>
        <v>1866.1871821975785</v>
      </c>
      <c r="G43" s="101">
        <f>+References!B26</f>
        <v>68</v>
      </c>
      <c r="H43" s="101">
        <f t="shared" si="2"/>
        <v>126900.72838943535</v>
      </c>
      <c r="I43" s="101">
        <f t="shared" si="14"/>
        <v>117170.90218808189</v>
      </c>
      <c r="J43" s="115">
        <f>+I43*References!$C$55</f>
        <v>89.635740173882851</v>
      </c>
      <c r="K43" s="115">
        <f>+J43/References!$G$58</f>
        <v>91.397425551385822</v>
      </c>
      <c r="L43" s="115">
        <f t="shared" si="3"/>
        <v>0.21222710910289616</v>
      </c>
      <c r="M43" s="115">
        <f>+'Proposed Rates'!B25</f>
        <v>36.46</v>
      </c>
      <c r="N43" s="115">
        <f t="shared" si="4"/>
        <v>36.672227109102899</v>
      </c>
      <c r="O43" s="115">
        <f>+'Proposed Rates'!D25</f>
        <v>36.672227109102899</v>
      </c>
      <c r="P43" s="115">
        <f t="shared" si="5"/>
        <v>15701.811845290089</v>
      </c>
      <c r="Q43" s="115">
        <f t="shared" si="6"/>
        <v>15793.209270841478</v>
      </c>
      <c r="R43" s="115">
        <f t="shared" si="7"/>
        <v>91.39742555138946</v>
      </c>
      <c r="S43" s="115">
        <f t="shared" si="8"/>
        <v>15793.209270841478</v>
      </c>
      <c r="T43" s="115">
        <f t="shared" si="9"/>
        <v>0</v>
      </c>
      <c r="U43" s="114">
        <f t="shared" si="10"/>
        <v>36.672227109102899</v>
      </c>
      <c r="V43" s="114">
        <f t="shared" si="11"/>
        <v>15793.209270841478</v>
      </c>
      <c r="W43" s="114">
        <f t="shared" si="12"/>
        <v>91.39742555138946</v>
      </c>
      <c r="X43" s="209">
        <f t="shared" si="13"/>
        <v>3.637978807091713E-12</v>
      </c>
    </row>
    <row r="44" spans="1:24">
      <c r="A44" s="216"/>
      <c r="B44" s="153">
        <v>20</v>
      </c>
      <c r="C44" s="204" t="s">
        <v>264</v>
      </c>
      <c r="D44" s="101">
        <f>+'Company Regulated Cust Count'!AC50</f>
        <v>111.22020734038665</v>
      </c>
      <c r="E44" s="113">
        <f>+References!B11</f>
        <v>4.333333333333333</v>
      </c>
      <c r="F44" s="101">
        <f t="shared" si="1"/>
        <v>5783.4507817001049</v>
      </c>
      <c r="G44" s="101">
        <f>+References!B26</f>
        <v>68</v>
      </c>
      <c r="H44" s="101">
        <f t="shared" si="2"/>
        <v>393274.65315560711</v>
      </c>
      <c r="I44" s="101">
        <f t="shared" si="14"/>
        <v>363121.20901729766</v>
      </c>
      <c r="J44" s="115">
        <f>+I44*References!$C$55</f>
        <v>277.78772489823336</v>
      </c>
      <c r="K44" s="115">
        <f>+J44/References!$G$58</f>
        <v>283.24731693209958</v>
      </c>
      <c r="L44" s="115">
        <f t="shared" si="3"/>
        <v>0.21222710910289613</v>
      </c>
      <c r="M44" s="115">
        <f>+'Proposed Rates'!B41</f>
        <v>34.46</v>
      </c>
      <c r="N44" s="115">
        <f t="shared" si="4"/>
        <v>34.672227109102899</v>
      </c>
      <c r="O44" s="115">
        <f>+'Proposed Rates'!D41</f>
        <v>34.672227109102899</v>
      </c>
      <c r="P44" s="115">
        <f t="shared" si="5"/>
        <v>45991.780139396687</v>
      </c>
      <c r="Q44" s="115">
        <f t="shared" si="6"/>
        <v>46275.027456328789</v>
      </c>
      <c r="R44" s="115">
        <f t="shared" si="7"/>
        <v>283.24731693210197</v>
      </c>
      <c r="S44" s="115">
        <f t="shared" si="8"/>
        <v>46275.027456328789</v>
      </c>
      <c r="T44" s="115">
        <f t="shared" si="9"/>
        <v>0</v>
      </c>
      <c r="U44" s="114">
        <f t="shared" si="10"/>
        <v>34.672227109102899</v>
      </c>
      <c r="V44" s="114">
        <f t="shared" si="11"/>
        <v>46275.027456328789</v>
      </c>
      <c r="W44" s="114">
        <f t="shared" si="12"/>
        <v>283.24731693210197</v>
      </c>
      <c r="X44" s="209">
        <f t="shared" si="13"/>
        <v>2.3874235921539366E-12</v>
      </c>
    </row>
    <row r="45" spans="1:24">
      <c r="A45" s="216"/>
      <c r="B45" s="153">
        <v>20</v>
      </c>
      <c r="C45" s="204" t="s">
        <v>268</v>
      </c>
      <c r="D45" s="101">
        <f>+'Company Regulated Cust Count'!AC52</f>
        <v>2.8912009947337629</v>
      </c>
      <c r="E45" s="155">
        <f>+References!B11</f>
        <v>4.333333333333333</v>
      </c>
      <c r="F45" s="101">
        <f t="shared" si="1"/>
        <v>150.34245172615564</v>
      </c>
      <c r="G45" s="101">
        <f>+References!B26*2</f>
        <v>136</v>
      </c>
      <c r="H45" s="101">
        <f t="shared" si="2"/>
        <v>20446.573434757167</v>
      </c>
      <c r="I45" s="101">
        <f t="shared" si="14"/>
        <v>18878.878682660219</v>
      </c>
      <c r="J45" s="115">
        <f>+I45*References!$C$55</f>
        <v>14.442342192235101</v>
      </c>
      <c r="K45" s="115">
        <f>+J45/References!$G$58</f>
        <v>14.726189494746338</v>
      </c>
      <c r="L45" s="115">
        <f t="shared" si="3"/>
        <v>0.42445421820579227</v>
      </c>
      <c r="M45" s="115">
        <f>+'Proposed Rates'!B41*2</f>
        <v>68.92</v>
      </c>
      <c r="N45" s="115">
        <f t="shared" si="4"/>
        <v>69.344454218205797</v>
      </c>
      <c r="O45" s="115">
        <f>+'Proposed Rates'!D41*2</f>
        <v>69.344454218205797</v>
      </c>
      <c r="P45" s="115">
        <f t="shared" si="5"/>
        <v>2391.1388706846114</v>
      </c>
      <c r="Q45" s="115">
        <f t="shared" si="6"/>
        <v>2405.8650601793579</v>
      </c>
      <c r="R45" s="115">
        <f t="shared" si="7"/>
        <v>14.72618949474645</v>
      </c>
      <c r="S45" s="115">
        <f t="shared" si="8"/>
        <v>2405.8650601793579</v>
      </c>
      <c r="T45" s="115">
        <f t="shared" si="9"/>
        <v>0</v>
      </c>
      <c r="U45" s="114">
        <f t="shared" si="10"/>
        <v>69.344454218205797</v>
      </c>
      <c r="V45" s="114">
        <f t="shared" si="11"/>
        <v>2405.8650601793579</v>
      </c>
      <c r="W45" s="114">
        <f t="shared" si="12"/>
        <v>14.72618949474645</v>
      </c>
      <c r="X45" s="209">
        <f t="shared" si="13"/>
        <v>1.1191048088221578E-13</v>
      </c>
    </row>
    <row r="46" spans="1:24">
      <c r="A46" s="216"/>
      <c r="B46" s="153">
        <v>20</v>
      </c>
      <c r="C46" s="100" t="s">
        <v>270</v>
      </c>
      <c r="D46" s="101">
        <f>+'Company Regulated Cust Count'!AC53</f>
        <v>2</v>
      </c>
      <c r="E46" s="113">
        <f>+References!B12</f>
        <v>2.1666666666666665</v>
      </c>
      <c r="F46" s="101">
        <f t="shared" si="1"/>
        <v>52</v>
      </c>
      <c r="G46" s="101">
        <f>+References!B26</f>
        <v>68</v>
      </c>
      <c r="H46" s="101">
        <f t="shared" si="2"/>
        <v>3536</v>
      </c>
      <c r="I46" s="101">
        <f t="shared" si="14"/>
        <v>3264.885201175488</v>
      </c>
      <c r="J46" s="115">
        <f>+I46*References!$C$55</f>
        <v>2.4976371788992542</v>
      </c>
      <c r="K46" s="115">
        <f>+J46/References!$G$58</f>
        <v>2.5467253092347542</v>
      </c>
      <c r="L46" s="115">
        <f t="shared" si="3"/>
        <v>0.10611355455144808</v>
      </c>
      <c r="M46" s="115">
        <f>+'Proposed Rates'!B40</f>
        <v>21.04</v>
      </c>
      <c r="N46" s="115">
        <f t="shared" si="4"/>
        <v>21.146113554551448</v>
      </c>
      <c r="O46" s="115">
        <f>+'Proposed Rates'!D40</f>
        <v>21.146113554551448</v>
      </c>
      <c r="P46" s="115">
        <f t="shared" si="5"/>
        <v>504.96</v>
      </c>
      <c r="Q46" s="115">
        <f t="shared" si="6"/>
        <v>507.50672530923475</v>
      </c>
      <c r="R46" s="115">
        <f t="shared" si="7"/>
        <v>2.5467253092347732</v>
      </c>
      <c r="S46" s="115">
        <f t="shared" si="8"/>
        <v>507.50672530923475</v>
      </c>
      <c r="T46" s="115">
        <f t="shared" si="9"/>
        <v>0</v>
      </c>
      <c r="U46" s="114">
        <f t="shared" si="10"/>
        <v>21.146113554551448</v>
      </c>
      <c r="V46" s="114">
        <f t="shared" si="11"/>
        <v>507.50672530923475</v>
      </c>
      <c r="W46" s="114">
        <f t="shared" si="12"/>
        <v>2.5467253092347732</v>
      </c>
      <c r="X46" s="209">
        <f t="shared" si="13"/>
        <v>1.9095836023552692E-14</v>
      </c>
    </row>
    <row r="47" spans="1:24">
      <c r="A47" s="216"/>
      <c r="B47" s="153">
        <v>20</v>
      </c>
      <c r="C47" s="100" t="s">
        <v>272</v>
      </c>
      <c r="D47" s="101">
        <f>+'Company Regulated Cust Count'!AC54</f>
        <v>23.477656805212021</v>
      </c>
      <c r="E47" s="113">
        <f>+References!B12</f>
        <v>2.1666666666666665</v>
      </c>
      <c r="F47" s="101">
        <f t="shared" si="1"/>
        <v>610.41907693551252</v>
      </c>
      <c r="G47" s="101">
        <f>+References!B26</f>
        <v>68</v>
      </c>
      <c r="H47" s="101">
        <f t="shared" si="2"/>
        <v>41508.497231614849</v>
      </c>
      <c r="I47" s="101">
        <f t="shared" si="14"/>
        <v>38325.927130806849</v>
      </c>
      <c r="J47" s="115">
        <f>+I47*References!$C$55</f>
        <v>29.319334255067307</v>
      </c>
      <c r="K47" s="115">
        <f>+J47/References!$G$58</f>
        <v>29.895571393680502</v>
      </c>
      <c r="L47" s="115">
        <f t="shared" si="3"/>
        <v>0.10611355455144807</v>
      </c>
      <c r="M47" s="115">
        <f>+'Proposed Rates'!B24</f>
        <v>23.04</v>
      </c>
      <c r="N47" s="115">
        <f t="shared" si="4"/>
        <v>23.146113554551448</v>
      </c>
      <c r="O47" s="115">
        <f>+'Proposed Rates'!D24</f>
        <v>23.146113554551448</v>
      </c>
      <c r="P47" s="115">
        <f t="shared" si="5"/>
        <v>6491.1025535050194</v>
      </c>
      <c r="Q47" s="115">
        <f t="shared" si="6"/>
        <v>6520.9981248987006</v>
      </c>
      <c r="R47" s="115">
        <f t="shared" si="7"/>
        <v>29.895571393681166</v>
      </c>
      <c r="S47" s="115">
        <f t="shared" si="8"/>
        <v>6520.9981248987006</v>
      </c>
      <c r="T47" s="115">
        <f t="shared" si="9"/>
        <v>0</v>
      </c>
      <c r="U47" s="114">
        <f t="shared" si="10"/>
        <v>23.146113554551448</v>
      </c>
      <c r="V47" s="114">
        <f t="shared" si="11"/>
        <v>6520.9981248987006</v>
      </c>
      <c r="W47" s="114">
        <f t="shared" si="12"/>
        <v>29.895571393681166</v>
      </c>
      <c r="X47" s="209">
        <f t="shared" si="13"/>
        <v>6.6435745793569367E-13</v>
      </c>
    </row>
    <row r="48" spans="1:24">
      <c r="A48" s="216"/>
      <c r="B48" s="153">
        <v>20</v>
      </c>
      <c r="C48" s="100" t="s">
        <v>274</v>
      </c>
      <c r="D48" s="101">
        <f>+'Company Regulated Cust Count'!AC55</f>
        <v>188.16465407301129</v>
      </c>
      <c r="E48" s="113">
        <f>+References!B12</f>
        <v>2.1666666666666665</v>
      </c>
      <c r="F48" s="101">
        <f t="shared" si="1"/>
        <v>4892.2810058982932</v>
      </c>
      <c r="G48" s="101">
        <f>+References!B26</f>
        <v>68</v>
      </c>
      <c r="H48" s="101">
        <f t="shared" si="2"/>
        <v>332675.10840108391</v>
      </c>
      <c r="I48" s="101">
        <f t="shared" si="14"/>
        <v>307167.99723363976</v>
      </c>
      <c r="J48" s="115">
        <f>+I48*References!$C$55</f>
        <v>234.98351788373498</v>
      </c>
      <c r="K48" s="115">
        <f>+J48/References!$G$58</f>
        <v>239.6018434155701</v>
      </c>
      <c r="L48" s="115">
        <f t="shared" si="3"/>
        <v>0.10611355455144808</v>
      </c>
      <c r="M48" s="115">
        <f>+'Proposed Rates'!B40</f>
        <v>21.04</v>
      </c>
      <c r="N48" s="115">
        <f t="shared" si="4"/>
        <v>21.146113554551448</v>
      </c>
      <c r="O48" s="115">
        <f>+'Proposed Rates'!D40</f>
        <v>21.146113554551448</v>
      </c>
      <c r="P48" s="115">
        <f t="shared" si="5"/>
        <v>47507.81186035389</v>
      </c>
      <c r="Q48" s="115">
        <f t="shared" si="6"/>
        <v>47747.41370376946</v>
      </c>
      <c r="R48" s="115">
        <f t="shared" si="7"/>
        <v>239.60184341557033</v>
      </c>
      <c r="S48" s="115">
        <f t="shared" si="8"/>
        <v>47747.41370376946</v>
      </c>
      <c r="T48" s="115">
        <f t="shared" si="9"/>
        <v>0</v>
      </c>
      <c r="U48" s="114">
        <f t="shared" si="10"/>
        <v>21.146113554551448</v>
      </c>
      <c r="V48" s="114">
        <f t="shared" si="11"/>
        <v>47747.41370376946</v>
      </c>
      <c r="W48" s="114">
        <f t="shared" si="12"/>
        <v>239.60184341557033</v>
      </c>
      <c r="X48" s="209">
        <f t="shared" si="13"/>
        <v>2.2737367544323206E-13</v>
      </c>
    </row>
    <row r="49" spans="1:24">
      <c r="A49" s="216"/>
      <c r="B49" s="153">
        <v>21</v>
      </c>
      <c r="C49" s="100" t="s">
        <v>276</v>
      </c>
      <c r="D49" s="101">
        <f>+'Company Regulated Cust Count'!AC56</f>
        <v>8.3333333333333329E-2</v>
      </c>
      <c r="E49" s="113">
        <f>+References!B13</f>
        <v>1</v>
      </c>
      <c r="F49" s="101">
        <f t="shared" si="1"/>
        <v>1</v>
      </c>
      <c r="G49" s="101">
        <f>+References!B18</f>
        <v>34</v>
      </c>
      <c r="H49" s="101">
        <f t="shared" si="2"/>
        <v>34</v>
      </c>
      <c r="I49" s="101">
        <f t="shared" si="14"/>
        <v>31.393126934379691</v>
      </c>
      <c r="J49" s="115">
        <f>+I49*References!$C$55</f>
        <v>2.4015742104800519E-2</v>
      </c>
      <c r="K49" s="115">
        <f>+J49/References!$G$58</f>
        <v>2.4487743358026479E-2</v>
      </c>
      <c r="L49" s="115">
        <f t="shared" si="3"/>
        <v>2.4487743358026479E-2</v>
      </c>
      <c r="M49" s="115">
        <f>+'Proposed Rates'!B44</f>
        <v>4.49</v>
      </c>
      <c r="N49" s="115">
        <f t="shared" si="4"/>
        <v>4.5144877433580266</v>
      </c>
      <c r="O49" s="115">
        <f>+'Proposed Rates'!D44</f>
        <v>4.5144877433580266</v>
      </c>
      <c r="P49" s="115">
        <f t="shared" si="5"/>
        <v>4.49</v>
      </c>
      <c r="Q49" s="115">
        <f t="shared" si="6"/>
        <v>4.5144877433580266</v>
      </c>
      <c r="R49" s="115">
        <f t="shared" si="7"/>
        <v>2.4487743358026393E-2</v>
      </c>
      <c r="S49" s="115">
        <f t="shared" si="8"/>
        <v>4.5144877433580266</v>
      </c>
      <c r="T49" s="115">
        <f t="shared" si="9"/>
        <v>0</v>
      </c>
      <c r="U49" s="114">
        <f t="shared" si="10"/>
        <v>4.5144877433580266</v>
      </c>
      <c r="V49" s="114">
        <f t="shared" si="11"/>
        <v>4.5144877433580266</v>
      </c>
      <c r="W49" s="114">
        <f t="shared" si="12"/>
        <v>2.4487743358026393E-2</v>
      </c>
      <c r="X49" s="209">
        <f t="shared" si="13"/>
        <v>-8.6736173798840355E-17</v>
      </c>
    </row>
    <row r="50" spans="1:24">
      <c r="A50" s="216"/>
      <c r="B50" s="153">
        <v>21</v>
      </c>
      <c r="C50" s="100" t="s">
        <v>278</v>
      </c>
      <c r="D50" s="101">
        <f>+'Company Regulated Cust Count'!AC57</f>
        <v>18.995395948434624</v>
      </c>
      <c r="E50" s="113">
        <f>+References!B13</f>
        <v>1</v>
      </c>
      <c r="F50" s="101">
        <f t="shared" si="1"/>
        <v>227.9447513812155</v>
      </c>
      <c r="G50" s="101">
        <f>+References!B28</f>
        <v>34</v>
      </c>
      <c r="H50" s="101">
        <f t="shared" si="2"/>
        <v>7750.1215469613271</v>
      </c>
      <c r="I50" s="101">
        <f t="shared" si="14"/>
        <v>7155.898514136119</v>
      </c>
      <c r="J50" s="115">
        <f>+I50*References!$C$55</f>
        <v>5.4742623633141436</v>
      </c>
      <c r="K50" s="115">
        <f>+J50/References!$G$58</f>
        <v>5.5818525716323579</v>
      </c>
      <c r="L50" s="115">
        <f t="shared" si="3"/>
        <v>2.4487743358026483E-2</v>
      </c>
      <c r="M50" s="115">
        <f>+'Proposed Rates'!B48</f>
        <v>7.27</v>
      </c>
      <c r="N50" s="115">
        <f t="shared" si="4"/>
        <v>7.294487743358026</v>
      </c>
      <c r="O50" s="115">
        <f>+'Proposed Rates'!D48</f>
        <v>7.294487743358026</v>
      </c>
      <c r="P50" s="115">
        <f t="shared" si="5"/>
        <v>1657.1583425414365</v>
      </c>
      <c r="Q50" s="115">
        <f t="shared" si="6"/>
        <v>1662.7401951130689</v>
      </c>
      <c r="R50" s="115">
        <f t="shared" si="7"/>
        <v>5.581852571632453</v>
      </c>
      <c r="S50" s="115">
        <f t="shared" si="8"/>
        <v>1662.7401951130689</v>
      </c>
      <c r="T50" s="115">
        <f t="shared" si="9"/>
        <v>0</v>
      </c>
      <c r="U50" s="114">
        <f t="shared" si="10"/>
        <v>7.294487743358026</v>
      </c>
      <c r="V50" s="114">
        <f t="shared" si="11"/>
        <v>1662.7401951130689</v>
      </c>
      <c r="W50" s="114">
        <f t="shared" si="12"/>
        <v>5.581852571632453</v>
      </c>
      <c r="X50" s="209">
        <f t="shared" si="13"/>
        <v>9.50350909079134E-14</v>
      </c>
    </row>
    <row r="51" spans="1:24">
      <c r="A51" s="216"/>
      <c r="B51" s="153">
        <v>21</v>
      </c>
      <c r="C51" s="100" t="s">
        <v>280</v>
      </c>
      <c r="D51" s="101">
        <f>+'Company Regulated Cust Count'!AC58</f>
        <v>452.58557548579967</v>
      </c>
      <c r="E51" s="113">
        <f>+References!B13</f>
        <v>1</v>
      </c>
      <c r="F51" s="101">
        <f t="shared" si="1"/>
        <v>5431.0269058295962</v>
      </c>
      <c r="G51" s="101">
        <f>+References!B28</f>
        <v>34</v>
      </c>
      <c r="H51" s="101">
        <f t="shared" si="2"/>
        <v>184654.91479820627</v>
      </c>
      <c r="I51" s="101">
        <f t="shared" si="14"/>
        <v>170496.91703873989</v>
      </c>
      <c r="J51" s="115">
        <f>+I51*References!$C$55</f>
        <v>130.43014153463633</v>
      </c>
      <c r="K51" s="115">
        <f>+J51/References!$G$58</f>
        <v>132.99359304049182</v>
      </c>
      <c r="L51" s="115">
        <f t="shared" si="3"/>
        <v>2.4487743358026483E-2</v>
      </c>
      <c r="M51" s="115">
        <f>+'Proposed Rates'!B44</f>
        <v>4.49</v>
      </c>
      <c r="N51" s="115">
        <f t="shared" si="4"/>
        <v>4.5144877433580266</v>
      </c>
      <c r="O51" s="115">
        <f>+'Proposed Rates'!D44</f>
        <v>4.5144877433580266</v>
      </c>
      <c r="P51" s="115">
        <f t="shared" si="5"/>
        <v>24385.310807174887</v>
      </c>
      <c r="Q51" s="115">
        <f t="shared" si="6"/>
        <v>24518.304400215377</v>
      </c>
      <c r="R51" s="115">
        <f t="shared" si="7"/>
        <v>132.99359304048994</v>
      </c>
      <c r="S51" s="115">
        <f t="shared" si="8"/>
        <v>24518.304400215377</v>
      </c>
      <c r="T51" s="115">
        <f t="shared" si="9"/>
        <v>0</v>
      </c>
      <c r="U51" s="114">
        <f t="shared" si="10"/>
        <v>4.5144877433580266</v>
      </c>
      <c r="V51" s="114">
        <f t="shared" si="11"/>
        <v>24518.304400215377</v>
      </c>
      <c r="W51" s="114">
        <f t="shared" si="12"/>
        <v>132.99359304048994</v>
      </c>
      <c r="X51" s="209">
        <f t="shared" si="13"/>
        <v>-1.8758328224066645E-12</v>
      </c>
    </row>
    <row r="52" spans="1:24">
      <c r="A52" s="216"/>
      <c r="B52" s="153">
        <v>15</v>
      </c>
      <c r="C52" s="100" t="s">
        <v>282</v>
      </c>
      <c r="D52" s="101">
        <f>+'Company Regulated Cust Count'!AC59</f>
        <v>3.4166666666666665</v>
      </c>
      <c r="E52" s="113">
        <f>+References!B13</f>
        <v>1</v>
      </c>
      <c r="F52" s="101">
        <f t="shared" si="1"/>
        <v>41</v>
      </c>
      <c r="G52" s="101">
        <f>+References!B28</f>
        <v>34</v>
      </c>
      <c r="H52" s="101">
        <f t="shared" si="2"/>
        <v>1394</v>
      </c>
      <c r="I52" s="101">
        <f t="shared" si="14"/>
        <v>1287.1182043095673</v>
      </c>
      <c r="J52" s="115">
        <f>+I52*References!$C$55</f>
        <v>0.98464542629682128</v>
      </c>
      <c r="K52" s="115">
        <f>+J52/References!$G$58</f>
        <v>1.0039974776790856</v>
      </c>
      <c r="L52" s="115">
        <f t="shared" si="3"/>
        <v>2.4487743358026479E-2</v>
      </c>
      <c r="M52" s="115">
        <f>+'Proposed Rates'!B8</f>
        <v>6.7292086102311002</v>
      </c>
      <c r="N52" s="115">
        <f t="shared" si="4"/>
        <v>6.7536963535891266</v>
      </c>
      <c r="O52" s="115">
        <f>+'Proposed Rates'!D8</f>
        <v>6.7536963535891266</v>
      </c>
      <c r="P52" s="115">
        <f t="shared" si="5"/>
        <v>275.89755301947514</v>
      </c>
      <c r="Q52" s="115">
        <f t="shared" si="6"/>
        <v>276.90155049715418</v>
      </c>
      <c r="R52" s="115">
        <f t="shared" si="7"/>
        <v>1.0039974776790359</v>
      </c>
      <c r="S52" s="115">
        <f t="shared" si="8"/>
        <v>276.90155049715418</v>
      </c>
      <c r="T52" s="115">
        <f t="shared" si="9"/>
        <v>0</v>
      </c>
      <c r="U52" s="114">
        <f t="shared" si="10"/>
        <v>6.7536963535891266</v>
      </c>
      <c r="V52" s="114">
        <f t="shared" si="11"/>
        <v>276.90155049715418</v>
      </c>
      <c r="W52" s="114">
        <f t="shared" si="12"/>
        <v>1.0039974776790359</v>
      </c>
      <c r="X52" s="209">
        <f t="shared" si="13"/>
        <v>-4.9737991503207013E-14</v>
      </c>
    </row>
    <row r="53" spans="1:24">
      <c r="A53" s="216"/>
      <c r="B53" s="153">
        <v>15</v>
      </c>
      <c r="C53" s="100" t="s">
        <v>284</v>
      </c>
      <c r="D53" s="101">
        <f>+'Company Regulated Cust Count'!AC60</f>
        <v>3.5</v>
      </c>
      <c r="E53" s="113">
        <f>+References!B13</f>
        <v>1</v>
      </c>
      <c r="F53" s="101">
        <f t="shared" si="1"/>
        <v>42</v>
      </c>
      <c r="G53" s="101">
        <f>+References!B28</f>
        <v>34</v>
      </c>
      <c r="H53" s="101">
        <f t="shared" si="2"/>
        <v>1428</v>
      </c>
      <c r="I53" s="101">
        <f t="shared" si="14"/>
        <v>1318.5113312439471</v>
      </c>
      <c r="J53" s="115">
        <f>+I53*References!$C$55</f>
        <v>1.0086611684016218</v>
      </c>
      <c r="K53" s="115">
        <f>+J53/References!$G$58</f>
        <v>1.0284852210371123</v>
      </c>
      <c r="L53" s="115">
        <f t="shared" si="3"/>
        <v>2.4487743358026483E-2</v>
      </c>
      <c r="M53" s="115">
        <f>+'Proposed Rates'!B8</f>
        <v>6.7292086102311002</v>
      </c>
      <c r="N53" s="115">
        <f t="shared" si="4"/>
        <v>6.7536963535891266</v>
      </c>
      <c r="O53" s="115">
        <f>+'Proposed Rates'!D8</f>
        <v>6.7536963535891266</v>
      </c>
      <c r="P53" s="115">
        <f t="shared" si="5"/>
        <v>282.62676162970621</v>
      </c>
      <c r="Q53" s="115">
        <f t="shared" si="6"/>
        <v>283.65524685074331</v>
      </c>
      <c r="R53" s="115">
        <f t="shared" si="7"/>
        <v>1.0284852210371014</v>
      </c>
      <c r="S53" s="115">
        <f t="shared" si="8"/>
        <v>283.65524685074331</v>
      </c>
      <c r="T53" s="115">
        <f t="shared" si="9"/>
        <v>0</v>
      </c>
      <c r="U53" s="114">
        <f t="shared" si="10"/>
        <v>6.7536963535891266</v>
      </c>
      <c r="V53" s="114">
        <f t="shared" si="11"/>
        <v>283.65524685074331</v>
      </c>
      <c r="W53" s="114">
        <f t="shared" si="12"/>
        <v>1.0284852210371014</v>
      </c>
      <c r="X53" s="209">
        <f t="shared" si="13"/>
        <v>-1.0880185641326534E-14</v>
      </c>
    </row>
    <row r="54" spans="1:24">
      <c r="A54" s="216"/>
      <c r="B54" s="153">
        <v>22</v>
      </c>
      <c r="C54" s="100" t="s">
        <v>286</v>
      </c>
      <c r="D54" s="101">
        <f>+'Company Regulated Cust Count'!AC61</f>
        <v>8.3333333333333329E-2</v>
      </c>
      <c r="E54" s="113">
        <f>+References!B13</f>
        <v>1</v>
      </c>
      <c r="F54" s="101">
        <f t="shared" si="1"/>
        <v>1</v>
      </c>
      <c r="G54" s="101">
        <f>+References!B46</f>
        <v>125</v>
      </c>
      <c r="H54" s="101">
        <f t="shared" si="2"/>
        <v>125</v>
      </c>
      <c r="I54" s="101">
        <f t="shared" si="14"/>
        <v>115.41590784698415</v>
      </c>
      <c r="J54" s="115">
        <f>+I54*References!$C$55</f>
        <v>8.8293169502943081E-2</v>
      </c>
      <c r="K54" s="115">
        <f>+J54/References!$G$58</f>
        <v>9.0028468228038533E-2</v>
      </c>
      <c r="L54" s="115">
        <f t="shared" si="3"/>
        <v>9.0028468228038533E-2</v>
      </c>
      <c r="M54" s="115">
        <f>+'Proposed Rates'!B54</f>
        <v>23.99</v>
      </c>
      <c r="N54" s="115">
        <f t="shared" si="4"/>
        <v>24.080028468228036</v>
      </c>
      <c r="O54" s="115">
        <f>+'Proposed Rates'!D54</f>
        <v>24.080028468228036</v>
      </c>
      <c r="P54" s="115">
        <f t="shared" si="5"/>
        <v>23.99</v>
      </c>
      <c r="Q54" s="115">
        <f t="shared" si="6"/>
        <v>24.080028468228033</v>
      </c>
      <c r="R54" s="115">
        <f t="shared" si="7"/>
        <v>9.0028468228034342E-2</v>
      </c>
      <c r="S54" s="115">
        <f t="shared" si="8"/>
        <v>24.080028468228033</v>
      </c>
      <c r="T54" s="115">
        <f t="shared" si="9"/>
        <v>0</v>
      </c>
      <c r="U54" s="114">
        <f t="shared" si="10"/>
        <v>24.080028468228036</v>
      </c>
      <c r="V54" s="114">
        <f t="shared" si="11"/>
        <v>24.080028468228033</v>
      </c>
      <c r="W54" s="114">
        <f t="shared" si="12"/>
        <v>9.0028468228034342E-2</v>
      </c>
      <c r="X54" s="209">
        <f t="shared" si="13"/>
        <v>-4.1910919179599659E-15</v>
      </c>
    </row>
    <row r="55" spans="1:24">
      <c r="A55" s="216"/>
      <c r="B55" s="153">
        <v>21</v>
      </c>
      <c r="C55" s="100" t="s">
        <v>288</v>
      </c>
      <c r="D55" s="101">
        <f>+'Company Regulated Cust Count'!AC62</f>
        <v>1.2208203933747412</v>
      </c>
      <c r="E55" s="113">
        <f>+References!B13</f>
        <v>1</v>
      </c>
      <c r="F55" s="101">
        <f t="shared" si="1"/>
        <v>14.649844720496894</v>
      </c>
      <c r="G55" s="101">
        <f>+References!B28</f>
        <v>34</v>
      </c>
      <c r="H55" s="101">
        <f t="shared" si="2"/>
        <v>498.09472049689441</v>
      </c>
      <c r="I55" s="101">
        <f t="shared" si="14"/>
        <v>459.9044348795112</v>
      </c>
      <c r="J55" s="115">
        <f>+I55*References!$C$55</f>
        <v>0.35182689268282691</v>
      </c>
      <c r="K55" s="115">
        <f>+J55/References!$G$58</f>
        <v>0.35874163775046719</v>
      </c>
      <c r="L55" s="115">
        <f t="shared" si="3"/>
        <v>2.4487743358026486E-2</v>
      </c>
      <c r="M55" s="115">
        <f>+'Proposed Rates'!B44</f>
        <v>4.49</v>
      </c>
      <c r="N55" s="115">
        <f t="shared" si="4"/>
        <v>4.5144877433580266</v>
      </c>
      <c r="O55" s="115">
        <f>+'Proposed Rates'!D44</f>
        <v>4.5144877433580266</v>
      </c>
      <c r="P55" s="115">
        <f t="shared" si="5"/>
        <v>65.777802795031064</v>
      </c>
      <c r="Q55" s="115">
        <f t="shared" si="6"/>
        <v>66.136544432781534</v>
      </c>
      <c r="R55" s="115">
        <f t="shared" si="7"/>
        <v>0.35874163775046952</v>
      </c>
      <c r="S55" s="115">
        <f t="shared" si="8"/>
        <v>66.136544432781534</v>
      </c>
      <c r="T55" s="115">
        <f t="shared" si="9"/>
        <v>0</v>
      </c>
      <c r="U55" s="114">
        <f t="shared" si="10"/>
        <v>4.5144877433580266</v>
      </c>
      <c r="V55" s="114">
        <f t="shared" si="11"/>
        <v>66.136544432781534</v>
      </c>
      <c r="W55" s="114">
        <f t="shared" si="12"/>
        <v>0.35874163775046952</v>
      </c>
      <c r="X55" s="209">
        <f t="shared" si="13"/>
        <v>2.3314683517128287E-15</v>
      </c>
    </row>
    <row r="56" spans="1:24">
      <c r="A56" s="216"/>
      <c r="B56" s="153">
        <v>21</v>
      </c>
      <c r="C56" s="100" t="s">
        <v>290</v>
      </c>
      <c r="D56" s="101">
        <f>+'Company Regulated Cust Count'!AC63</f>
        <v>0.24946538358727613</v>
      </c>
      <c r="E56" s="113">
        <f>+References!B13</f>
        <v>1</v>
      </c>
      <c r="F56" s="101">
        <f t="shared" si="1"/>
        <v>2.9935846030473137</v>
      </c>
      <c r="G56" s="101">
        <f>+References!B28</f>
        <v>34</v>
      </c>
      <c r="H56" s="101">
        <f t="shared" si="2"/>
        <v>101.78187650360866</v>
      </c>
      <c r="I56" s="101">
        <f t="shared" si="14"/>
        <v>93.977981432268948</v>
      </c>
      <c r="J56" s="115">
        <f>+I56*References!$C$55</f>
        <v>7.1893155795685906E-2</v>
      </c>
      <c r="K56" s="115">
        <f>+J56/References!$G$58</f>
        <v>7.3306131479962178E-2</v>
      </c>
      <c r="L56" s="115">
        <f t="shared" si="3"/>
        <v>2.4487743358026476E-2</v>
      </c>
      <c r="M56" s="115">
        <f>+'Proposed Rates'!B44</f>
        <v>4.49</v>
      </c>
      <c r="N56" s="115">
        <f t="shared" si="4"/>
        <v>4.5144877433580266</v>
      </c>
      <c r="O56" s="115">
        <f>+'Proposed Rates'!D44</f>
        <v>4.5144877433580266</v>
      </c>
      <c r="P56" s="115">
        <f t="shared" si="5"/>
        <v>13.441194867682437</v>
      </c>
      <c r="Q56" s="115">
        <f t="shared" si="6"/>
        <v>13.514500999162401</v>
      </c>
      <c r="R56" s="115">
        <f t="shared" si="7"/>
        <v>7.3306131479963454E-2</v>
      </c>
      <c r="S56" s="115">
        <f t="shared" si="8"/>
        <v>13.514500999162401</v>
      </c>
      <c r="T56" s="115">
        <f t="shared" si="9"/>
        <v>0</v>
      </c>
      <c r="U56" s="114">
        <f t="shared" si="10"/>
        <v>4.5144877433580266</v>
      </c>
      <c r="V56" s="114">
        <f t="shared" si="11"/>
        <v>13.514500999162401</v>
      </c>
      <c r="W56" s="114">
        <f t="shared" si="12"/>
        <v>7.3306131479963454E-2</v>
      </c>
      <c r="X56" s="209">
        <f t="shared" si="13"/>
        <v>1.27675647831893E-15</v>
      </c>
    </row>
    <row r="57" spans="1:24">
      <c r="A57" s="216"/>
      <c r="B57" s="153">
        <v>21</v>
      </c>
      <c r="C57" s="100" t="s">
        <v>292</v>
      </c>
      <c r="D57" s="101">
        <f>+'Company Regulated Cust Count'!AC64</f>
        <v>37.412630021494685</v>
      </c>
      <c r="E57" s="113">
        <f>+References!B13</f>
        <v>1</v>
      </c>
      <c r="F57" s="101">
        <f t="shared" si="1"/>
        <v>448.95156025793619</v>
      </c>
      <c r="G57" s="101">
        <f>+References!B25</f>
        <v>47</v>
      </c>
      <c r="H57" s="101">
        <f t="shared" si="2"/>
        <v>21100.723332123001</v>
      </c>
      <c r="I57" s="101">
        <f t="shared" si="14"/>
        <v>19482.873116840135</v>
      </c>
      <c r="J57" s="115">
        <f>+I57*References!$C$55</f>
        <v>14.904397934382738</v>
      </c>
      <c r="K57" s="115">
        <f>+J57/References!$G$58</f>
        <v>15.197326400757335</v>
      </c>
      <c r="L57" s="115">
        <f t="shared" si="3"/>
        <v>3.3850704053742485E-2</v>
      </c>
      <c r="M57" s="115">
        <f>+'Proposed Rates'!B45</f>
        <v>8.9</v>
      </c>
      <c r="N57" s="115">
        <f t="shared" si="4"/>
        <v>8.9338507040537429</v>
      </c>
      <c r="O57" s="115">
        <f>+'Proposed Rates'!D45</f>
        <v>8.9338507040537429</v>
      </c>
      <c r="P57" s="115">
        <f t="shared" si="5"/>
        <v>3995.6688862956325</v>
      </c>
      <c r="Q57" s="115">
        <f t="shared" si="6"/>
        <v>4010.86621269639</v>
      </c>
      <c r="R57" s="115">
        <f t="shared" si="7"/>
        <v>15.197326400757447</v>
      </c>
      <c r="S57" s="115">
        <f t="shared" si="8"/>
        <v>4010.86621269639</v>
      </c>
      <c r="T57" s="115">
        <f t="shared" si="9"/>
        <v>0</v>
      </c>
      <c r="U57" s="114">
        <f t="shared" si="10"/>
        <v>8.9338507040537429</v>
      </c>
      <c r="V57" s="114">
        <f t="shared" si="11"/>
        <v>4010.86621269639</v>
      </c>
      <c r="W57" s="114">
        <f t="shared" si="12"/>
        <v>15.197326400757447</v>
      </c>
      <c r="X57" s="209">
        <f t="shared" si="13"/>
        <v>1.1191048088221578E-13</v>
      </c>
    </row>
    <row r="58" spans="1:24">
      <c r="A58" s="216"/>
      <c r="B58" s="153">
        <v>21</v>
      </c>
      <c r="C58" s="100" t="s">
        <v>294</v>
      </c>
      <c r="D58" s="101">
        <f>+'Company Regulated Cust Count'!AC65</f>
        <v>9.4153064289312987</v>
      </c>
      <c r="E58" s="113">
        <f>+References!B13</f>
        <v>1</v>
      </c>
      <c r="F58" s="101">
        <f t="shared" si="1"/>
        <v>112.98367714717558</v>
      </c>
      <c r="G58" s="101">
        <f>+References!B26</f>
        <v>68</v>
      </c>
      <c r="H58" s="101">
        <f t="shared" si="2"/>
        <v>7682.8900460079394</v>
      </c>
      <c r="I58" s="101">
        <f t="shared" si="14"/>
        <v>7093.8218363885135</v>
      </c>
      <c r="J58" s="115">
        <f>+I58*References!$C$55</f>
        <v>5.4267737048372258</v>
      </c>
      <c r="K58" s="115">
        <f>+J58/References!$G$58</f>
        <v>5.5334305792523146</v>
      </c>
      <c r="L58" s="115">
        <f t="shared" si="3"/>
        <v>4.8975486716052966E-2</v>
      </c>
      <c r="M58" s="115">
        <f>+'Proposed Rates'!B46</f>
        <v>13.32</v>
      </c>
      <c r="N58" s="115">
        <f t="shared" si="4"/>
        <v>13.368975486716053</v>
      </c>
      <c r="O58" s="115">
        <f>+'Proposed Rates'!D46</f>
        <v>13.368975486716053</v>
      </c>
      <c r="P58" s="115">
        <f t="shared" si="5"/>
        <v>1504.9425796003788</v>
      </c>
      <c r="Q58" s="115">
        <f t="shared" si="6"/>
        <v>1510.4760101796312</v>
      </c>
      <c r="R58" s="115">
        <f t="shared" si="7"/>
        <v>5.5334305792523537</v>
      </c>
      <c r="S58" s="115">
        <f t="shared" si="8"/>
        <v>1510.4760101796312</v>
      </c>
      <c r="T58" s="115">
        <f t="shared" si="9"/>
        <v>0</v>
      </c>
      <c r="U58" s="114">
        <f t="shared" si="10"/>
        <v>13.368975486716053</v>
      </c>
      <c r="V58" s="114">
        <f t="shared" si="11"/>
        <v>1510.4760101796312</v>
      </c>
      <c r="W58" s="114">
        <f t="shared" si="12"/>
        <v>5.5334305792523537</v>
      </c>
      <c r="X58" s="209">
        <f t="shared" si="13"/>
        <v>3.907985046680551E-14</v>
      </c>
    </row>
    <row r="59" spans="1:24">
      <c r="A59" s="216"/>
      <c r="B59" s="153">
        <v>21</v>
      </c>
      <c r="C59" s="100" t="s">
        <v>296</v>
      </c>
      <c r="D59" s="101">
        <f>+'Company Regulated Cust Count'!AC66</f>
        <v>0.16666666666666666</v>
      </c>
      <c r="E59" s="113">
        <f>+References!B13</f>
        <v>1</v>
      </c>
      <c r="F59" s="101">
        <f t="shared" si="1"/>
        <v>2</v>
      </c>
      <c r="G59" s="101">
        <f>+References!B26</f>
        <v>68</v>
      </c>
      <c r="H59" s="101">
        <f t="shared" si="2"/>
        <v>136</v>
      </c>
      <c r="I59" s="101">
        <f t="shared" si="14"/>
        <v>125.57250773751876</v>
      </c>
      <c r="J59" s="115">
        <f>+I59*References!$C$55</f>
        <v>9.6062968419202074E-2</v>
      </c>
      <c r="K59" s="115">
        <f>+J59/References!$G$58</f>
        <v>9.7950973432105917E-2</v>
      </c>
      <c r="L59" s="115">
        <f t="shared" si="3"/>
        <v>4.8975486716052959E-2</v>
      </c>
      <c r="M59" s="115">
        <f>+'Proposed Rates'!B46</f>
        <v>13.32</v>
      </c>
      <c r="N59" s="115">
        <f t="shared" si="4"/>
        <v>13.368975486716053</v>
      </c>
      <c r="O59" s="115">
        <f>+'Proposed Rates'!D46</f>
        <v>13.368975486716053</v>
      </c>
      <c r="P59" s="115">
        <f t="shared" si="5"/>
        <v>26.639999999999997</v>
      </c>
      <c r="Q59" s="115">
        <f t="shared" si="6"/>
        <v>26.737950973432106</v>
      </c>
      <c r="R59" s="115">
        <f t="shared" si="7"/>
        <v>9.7950973432109123E-2</v>
      </c>
      <c r="S59" s="115">
        <f t="shared" si="8"/>
        <v>26.737950973432106</v>
      </c>
      <c r="T59" s="115">
        <f t="shared" si="9"/>
        <v>0</v>
      </c>
      <c r="U59" s="114">
        <f t="shared" si="10"/>
        <v>13.368975486716053</v>
      </c>
      <c r="V59" s="114">
        <f t="shared" si="11"/>
        <v>26.737950973432106</v>
      </c>
      <c r="W59" s="114">
        <f t="shared" si="12"/>
        <v>9.7950973432109123E-2</v>
      </c>
      <c r="X59" s="209">
        <f t="shared" si="13"/>
        <v>3.2057689836051395E-15</v>
      </c>
    </row>
    <row r="60" spans="1:24">
      <c r="A60" s="143"/>
      <c r="B60" s="141"/>
      <c r="C60" s="140" t="s">
        <v>15</v>
      </c>
      <c r="D60" s="102">
        <f>SUM(D7:D59)</f>
        <v>6465.073198916718</v>
      </c>
      <c r="E60" s="106"/>
      <c r="F60" s="102">
        <f>SUM(F7:F59)</f>
        <v>217488.67576876495</v>
      </c>
      <c r="G60" s="145"/>
      <c r="H60" s="102">
        <f>SUM(H7:H59)</f>
        <v>9472158.6056151278</v>
      </c>
      <c r="I60" s="102">
        <f>SUM(I7:I59)</f>
        <v>8745902.2779015433</v>
      </c>
      <c r="J60" s="99"/>
      <c r="K60" s="99"/>
      <c r="L60" s="109"/>
      <c r="M60" s="109"/>
      <c r="N60" s="109"/>
      <c r="O60" s="109"/>
      <c r="P60" s="99">
        <f>SUM(P7:P59)</f>
        <v>1305450.5014160573</v>
      </c>
      <c r="Q60" s="99">
        <f>SUM(Q7:Q59)</f>
        <v>1312272.6128566698</v>
      </c>
      <c r="R60" s="99">
        <f>SUM(R7:R59)</f>
        <v>6822.1114406125571</v>
      </c>
      <c r="S60" s="99">
        <f>SUM(S7:S59)</f>
        <v>1312272.6128566698</v>
      </c>
      <c r="T60" s="99">
        <f t="shared" ref="T60" si="15">Q60-S60</f>
        <v>0</v>
      </c>
      <c r="U60" s="99"/>
      <c r="V60" s="99">
        <f>SUM(V7:V59)</f>
        <v>1312272.6128566698</v>
      </c>
      <c r="W60" s="99">
        <f>SUM(W7:W59)</f>
        <v>6822.1114406125571</v>
      </c>
      <c r="X60" s="209"/>
    </row>
    <row r="61" spans="1:24" ht="15" customHeight="1">
      <c r="A61" s="217" t="s">
        <v>13</v>
      </c>
      <c r="B61" s="153">
        <v>29</v>
      </c>
      <c r="C61" s="100" t="s">
        <v>574</v>
      </c>
      <c r="D61" s="101">
        <f>+'Company Regulated Cust Count'!AC98+'Company Regulated Cust Count'!AC99</f>
        <v>102.83994610662495</v>
      </c>
      <c r="E61" s="113">
        <f>+References!B13</f>
        <v>1</v>
      </c>
      <c r="F61" s="101">
        <f t="shared" si="1"/>
        <v>1234.0793532794994</v>
      </c>
      <c r="G61" s="101">
        <f>+References!B31</f>
        <v>175</v>
      </c>
      <c r="H61" s="101">
        <f>+F61*G61</f>
        <v>215963.88682391238</v>
      </c>
      <c r="I61" s="101">
        <f t="shared" ref="I61:I92" si="16">+H61*$D$165</f>
        <v>199405.34447956152</v>
      </c>
      <c r="J61" s="115">
        <f>+I61*References!$C$55</f>
        <v>152.54508852686493</v>
      </c>
      <c r="K61" s="115">
        <f>+J61/References!$G$58</f>
        <v>155.54318338664248</v>
      </c>
      <c r="L61" s="115">
        <f>+K61/F61</f>
        <v>0.12603985551925398</v>
      </c>
      <c r="M61" s="115">
        <f>+'Proposed Rates'!B65</f>
        <v>33.33</v>
      </c>
      <c r="N61" s="115">
        <f t="shared" ref="N61" si="17">+L61+M61</f>
        <v>33.456039855519251</v>
      </c>
      <c r="O61" s="115">
        <f>+'Proposed Rates'!D65</f>
        <v>33.456039855519251</v>
      </c>
      <c r="P61" s="115">
        <f>+F61*M61</f>
        <v>41131.864844805714</v>
      </c>
      <c r="Q61" s="115">
        <f>+F61*O61</f>
        <v>41287.408028192353</v>
      </c>
      <c r="R61" s="115">
        <f>+Q61-P61</f>
        <v>155.5431833866387</v>
      </c>
      <c r="S61" s="115">
        <f>+F61*N61</f>
        <v>41287.408028192353</v>
      </c>
      <c r="T61" s="115">
        <f>+Q61-S61</f>
        <v>0</v>
      </c>
      <c r="U61" s="114">
        <f>+N61</f>
        <v>33.456039855519251</v>
      </c>
      <c r="V61" s="114">
        <f>+F61*U61</f>
        <v>41287.408028192353</v>
      </c>
      <c r="W61" s="114">
        <f>+V61-P61</f>
        <v>155.5431833866387</v>
      </c>
      <c r="X61" s="209">
        <f t="shared" si="13"/>
        <v>-3.780087354243733E-12</v>
      </c>
    </row>
    <row r="62" spans="1:24" ht="15" customHeight="1">
      <c r="A62" s="217"/>
      <c r="B62" s="153">
        <v>29</v>
      </c>
      <c r="C62" s="100" t="s">
        <v>346</v>
      </c>
      <c r="D62" s="101">
        <f>+'Company Regulated Cust Count'!AC98+'Company Regulated Cust Count'!AC99</f>
        <v>102.83994610662495</v>
      </c>
      <c r="E62" s="113">
        <f>+References!B11</f>
        <v>4.333333333333333</v>
      </c>
      <c r="F62" s="101">
        <f>+D62*E62*12-F61</f>
        <v>4113.5978442649975</v>
      </c>
      <c r="G62" s="101">
        <f>+References!B31</f>
        <v>175</v>
      </c>
      <c r="H62" s="101">
        <f t="shared" ref="H62:H133" si="18">+F62*G62</f>
        <v>719879.62274637457</v>
      </c>
      <c r="I62" s="101">
        <f t="shared" si="16"/>
        <v>664684.48159853835</v>
      </c>
      <c r="J62" s="115">
        <f>+I62*References!$C$55</f>
        <v>508.48362842288304</v>
      </c>
      <c r="K62" s="115">
        <f>+J62/References!$G$58</f>
        <v>518.47727795547485</v>
      </c>
      <c r="L62" s="115">
        <f t="shared" ref="L62:L133" si="19">+K62/F62</f>
        <v>0.12603985551925395</v>
      </c>
      <c r="M62" s="115">
        <f>+'Proposed Rates'!B73</f>
        <v>19.149999999999999</v>
      </c>
      <c r="N62" s="115">
        <f t="shared" ref="N62:N133" si="20">+L62+M62</f>
        <v>19.276039855519251</v>
      </c>
      <c r="O62" s="115">
        <f>+'Proposed Rates'!D73</f>
        <v>19.276039855519251</v>
      </c>
      <c r="P62" s="115">
        <f t="shared" ref="P62:P135" si="21">+F62*M62</f>
        <v>78775.398717674703</v>
      </c>
      <c r="Q62" s="115">
        <f t="shared" ref="Q62:Q135" si="22">+F62*O62</f>
        <v>79293.875995630166</v>
      </c>
      <c r="R62" s="115">
        <f t="shared" ref="R62:R133" si="23">+Q62-P62</f>
        <v>518.47727795546234</v>
      </c>
      <c r="S62" s="115">
        <f t="shared" ref="S62:S135" si="24">+F62*N62</f>
        <v>79293.875995630166</v>
      </c>
      <c r="T62" s="115">
        <f t="shared" ref="T62:T133" si="25">+Q62-S62</f>
        <v>0</v>
      </c>
      <c r="U62" s="114">
        <f t="shared" ref="U62:U133" si="26">+N62</f>
        <v>19.276039855519251</v>
      </c>
      <c r="V62" s="114">
        <f t="shared" ref="V62:V135" si="27">+F62*U62</f>
        <v>79293.875995630166</v>
      </c>
      <c r="W62" s="114">
        <f t="shared" ref="W62:W133" si="28">+V62-P62</f>
        <v>518.47727795546234</v>
      </c>
      <c r="X62" s="209">
        <f t="shared" si="13"/>
        <v>-1.2505552149377763E-11</v>
      </c>
    </row>
    <row r="63" spans="1:24">
      <c r="A63" s="217"/>
      <c r="B63" s="153">
        <v>29</v>
      </c>
      <c r="C63" s="100" t="s">
        <v>575</v>
      </c>
      <c r="D63" s="101">
        <f>+'Company Regulated Cust Count'!AC100+'Company Regulated Cust Count'!AC101</f>
        <v>1.375</v>
      </c>
      <c r="E63" s="113">
        <f>+References!B13</f>
        <v>1</v>
      </c>
      <c r="F63" s="101">
        <f t="shared" ref="F63:F133" si="29">+D63*E63*12</f>
        <v>16.5</v>
      </c>
      <c r="G63" s="101">
        <f>+References!B31</f>
        <v>175</v>
      </c>
      <c r="H63" s="101">
        <f t="shared" si="18"/>
        <v>2887.5</v>
      </c>
      <c r="I63" s="101">
        <f t="shared" si="16"/>
        <v>2666.107471265334</v>
      </c>
      <c r="J63" s="115">
        <f>+I63*References!$C$55</f>
        <v>2.0395722155179854</v>
      </c>
      <c r="K63" s="115">
        <f>+J63/References!$G$58</f>
        <v>2.0796576160676903</v>
      </c>
      <c r="L63" s="115">
        <f t="shared" si="19"/>
        <v>0.12603985551925395</v>
      </c>
      <c r="M63" s="115">
        <f>+'Proposed Rates'!B65</f>
        <v>33.33</v>
      </c>
      <c r="N63" s="115">
        <f t="shared" si="20"/>
        <v>33.456039855519251</v>
      </c>
      <c r="O63" s="115">
        <f>+'Proposed Rates'!D65</f>
        <v>33.456039855519251</v>
      </c>
      <c r="P63" s="115">
        <f t="shared" si="21"/>
        <v>549.94499999999994</v>
      </c>
      <c r="Q63" s="115">
        <f t="shared" si="22"/>
        <v>552.02465761606766</v>
      </c>
      <c r="R63" s="115">
        <f t="shared" si="23"/>
        <v>2.0796576160677205</v>
      </c>
      <c r="S63" s="115">
        <f t="shared" si="24"/>
        <v>552.02465761606766</v>
      </c>
      <c r="T63" s="115">
        <f t="shared" si="25"/>
        <v>0</v>
      </c>
      <c r="U63" s="114">
        <f t="shared" si="26"/>
        <v>33.456039855519251</v>
      </c>
      <c r="V63" s="114">
        <f t="shared" si="27"/>
        <v>552.02465761606766</v>
      </c>
      <c r="W63" s="114">
        <f t="shared" si="28"/>
        <v>2.0796576160677205</v>
      </c>
      <c r="X63" s="209">
        <f t="shared" si="13"/>
        <v>3.0198066269804258E-14</v>
      </c>
    </row>
    <row r="64" spans="1:24">
      <c r="A64" s="217"/>
      <c r="B64" s="153">
        <v>29</v>
      </c>
      <c r="C64" s="100" t="s">
        <v>349</v>
      </c>
      <c r="D64" s="101">
        <f>+'Company Regulated Cust Count'!AC100+'Company Regulated Cust Count'!AC101</f>
        <v>1.375</v>
      </c>
      <c r="E64" s="113">
        <f>+References!B10</f>
        <v>8.6666666666666661</v>
      </c>
      <c r="F64" s="101">
        <f>+D64*E64*12-F63</f>
        <v>126.5</v>
      </c>
      <c r="G64" s="101">
        <f>+References!B31</f>
        <v>175</v>
      </c>
      <c r="H64" s="101">
        <f t="shared" si="18"/>
        <v>22137.5</v>
      </c>
      <c r="I64" s="101">
        <f t="shared" si="16"/>
        <v>20440.157279700896</v>
      </c>
      <c r="J64" s="115">
        <f>+I64*References!$C$55</f>
        <v>15.636720318971221</v>
      </c>
      <c r="K64" s="115">
        <f>+J64/References!$G$58</f>
        <v>15.944041723185626</v>
      </c>
      <c r="L64" s="115">
        <f t="shared" si="19"/>
        <v>0.12603985551925395</v>
      </c>
      <c r="M64" s="115">
        <f>+'Proposed Rates'!B73</f>
        <v>19.149999999999999</v>
      </c>
      <c r="N64" s="115">
        <f t="shared" si="20"/>
        <v>19.276039855519251</v>
      </c>
      <c r="O64" s="115">
        <f>+'Proposed Rates'!D73</f>
        <v>19.276039855519251</v>
      </c>
      <c r="P64" s="115">
        <f t="shared" si="21"/>
        <v>2422.4749999999999</v>
      </c>
      <c r="Q64" s="115">
        <f t="shared" si="22"/>
        <v>2438.4190417231853</v>
      </c>
      <c r="R64" s="115">
        <f t="shared" si="23"/>
        <v>15.944041723185364</v>
      </c>
      <c r="S64" s="115">
        <f t="shared" si="24"/>
        <v>2438.4190417231853</v>
      </c>
      <c r="T64" s="115">
        <f t="shared" si="25"/>
        <v>0</v>
      </c>
      <c r="U64" s="114">
        <f t="shared" si="26"/>
        <v>19.276039855519251</v>
      </c>
      <c r="V64" s="114">
        <f t="shared" si="27"/>
        <v>2438.4190417231853</v>
      </c>
      <c r="W64" s="114">
        <f t="shared" si="28"/>
        <v>15.944041723185364</v>
      </c>
      <c r="X64" s="209">
        <f t="shared" si="13"/>
        <v>-2.6112445539183682E-13</v>
      </c>
    </row>
    <row r="65" spans="1:31">
      <c r="A65" s="217"/>
      <c r="B65" s="153">
        <v>29</v>
      </c>
      <c r="C65" s="100" t="s">
        <v>576</v>
      </c>
      <c r="D65" s="101">
        <f>+'Company Regulated Cust Count'!AC102+'Company Regulated Cust Count'!AC103</f>
        <v>98.783002203551689</v>
      </c>
      <c r="E65" s="155">
        <f>+References!B13</f>
        <v>1</v>
      </c>
      <c r="F65" s="101">
        <f t="shared" si="29"/>
        <v>1185.3960264426203</v>
      </c>
      <c r="G65" s="101">
        <f>+References!B31</f>
        <v>175</v>
      </c>
      <c r="H65" s="101">
        <f t="shared" si="18"/>
        <v>207444.30462745854</v>
      </c>
      <c r="I65" s="101">
        <f t="shared" si="16"/>
        <v>191538.98197011571</v>
      </c>
      <c r="J65" s="115">
        <f>+I65*References!$C$55</f>
        <v>146.52732120713887</v>
      </c>
      <c r="K65" s="115">
        <f>+J65/References!$G$58</f>
        <v>149.40714390592558</v>
      </c>
      <c r="L65" s="115">
        <f t="shared" si="19"/>
        <v>0.12603985551925395</v>
      </c>
      <c r="M65" s="115">
        <f>+'Proposed Rates'!B65</f>
        <v>33.33</v>
      </c>
      <c r="N65" s="115">
        <f t="shared" si="20"/>
        <v>33.456039855519251</v>
      </c>
      <c r="O65" s="115">
        <f>+'Proposed Rates'!D65</f>
        <v>33.456039855519251</v>
      </c>
      <c r="P65" s="115">
        <f t="shared" si="21"/>
        <v>39509.24956133253</v>
      </c>
      <c r="Q65" s="115">
        <f t="shared" si="22"/>
        <v>39658.656705238456</v>
      </c>
      <c r="R65" s="115">
        <f t="shared" si="23"/>
        <v>149.4071439059262</v>
      </c>
      <c r="S65" s="115">
        <f t="shared" si="24"/>
        <v>39658.656705238456</v>
      </c>
      <c r="T65" s="115">
        <f t="shared" si="25"/>
        <v>0</v>
      </c>
      <c r="U65" s="114">
        <f t="shared" si="26"/>
        <v>33.456039855519251</v>
      </c>
      <c r="V65" s="114">
        <f t="shared" si="27"/>
        <v>39658.656705238456</v>
      </c>
      <c r="W65" s="114">
        <f t="shared" si="28"/>
        <v>149.4071439059262</v>
      </c>
      <c r="X65" s="209">
        <f t="shared" si="13"/>
        <v>6.2527760746888816E-13</v>
      </c>
    </row>
    <row r="66" spans="1:31">
      <c r="A66" s="217"/>
      <c r="B66" s="153">
        <v>29</v>
      </c>
      <c r="C66" s="100" t="s">
        <v>352</v>
      </c>
      <c r="D66" s="101">
        <f>+'Company Regulated Cust Count'!AC102+'Company Regulated Cust Count'!AC103</f>
        <v>98.783002203551689</v>
      </c>
      <c r="E66" s="113">
        <f>+References!B12</f>
        <v>2.1666666666666665</v>
      </c>
      <c r="F66" s="101">
        <f>+D66*E66*12-F65</f>
        <v>1382.9620308497235</v>
      </c>
      <c r="G66" s="101">
        <f>+References!B31</f>
        <v>175</v>
      </c>
      <c r="H66" s="101">
        <f t="shared" si="18"/>
        <v>242018.35539870162</v>
      </c>
      <c r="I66" s="101">
        <f t="shared" si="16"/>
        <v>223462.14563180166</v>
      </c>
      <c r="J66" s="115">
        <f>+I66*References!$C$55</f>
        <v>170.94854140832868</v>
      </c>
      <c r="K66" s="115">
        <f>+J66/References!$G$58</f>
        <v>174.3083345569132</v>
      </c>
      <c r="L66" s="115">
        <f t="shared" si="19"/>
        <v>0.12603985551925395</v>
      </c>
      <c r="M66" s="115">
        <f>+'Proposed Rates'!B73</f>
        <v>19.149999999999999</v>
      </c>
      <c r="N66" s="115">
        <f t="shared" si="20"/>
        <v>19.276039855519251</v>
      </c>
      <c r="O66" s="115">
        <f>+'Proposed Rates'!D73</f>
        <v>19.276039855519251</v>
      </c>
      <c r="P66" s="115">
        <f t="shared" si="21"/>
        <v>26483.722890772202</v>
      </c>
      <c r="Q66" s="115">
        <f t="shared" si="22"/>
        <v>26658.031225329116</v>
      </c>
      <c r="R66" s="115">
        <f t="shared" si="23"/>
        <v>174.30833455691391</v>
      </c>
      <c r="S66" s="115">
        <f t="shared" si="24"/>
        <v>26658.031225329116</v>
      </c>
      <c r="T66" s="115">
        <f t="shared" si="25"/>
        <v>0</v>
      </c>
      <c r="U66" s="114">
        <f t="shared" si="26"/>
        <v>19.276039855519251</v>
      </c>
      <c r="V66" s="114">
        <f t="shared" si="27"/>
        <v>26658.031225329116</v>
      </c>
      <c r="W66" s="114">
        <f t="shared" si="28"/>
        <v>174.30833455691391</v>
      </c>
      <c r="X66" s="209">
        <f t="shared" si="13"/>
        <v>7.1054273576010019E-13</v>
      </c>
    </row>
    <row r="67" spans="1:31">
      <c r="A67" s="217"/>
      <c r="B67" s="153">
        <v>29</v>
      </c>
      <c r="C67" s="100" t="s">
        <v>578</v>
      </c>
      <c r="D67" s="101">
        <f>+'Company Regulated Cust Count'!AC104</f>
        <v>1</v>
      </c>
      <c r="E67" s="155">
        <f>+References!B13</f>
        <v>1</v>
      </c>
      <c r="F67" s="101">
        <f t="shared" si="29"/>
        <v>12</v>
      </c>
      <c r="G67" s="101">
        <f>+References!B32</f>
        <v>250</v>
      </c>
      <c r="H67" s="101">
        <f t="shared" si="18"/>
        <v>3000</v>
      </c>
      <c r="I67" s="101">
        <f t="shared" si="16"/>
        <v>2769.9817883276201</v>
      </c>
      <c r="J67" s="115">
        <f>+I67*References!$C$55</f>
        <v>2.1190360680706344</v>
      </c>
      <c r="K67" s="115">
        <f>+J67/References!$G$58</f>
        <v>2.160683237472925</v>
      </c>
      <c r="L67" s="115">
        <f t="shared" si="19"/>
        <v>0.18005693645607709</v>
      </c>
      <c r="M67" s="115">
        <f>+'Proposed Rates'!B66</f>
        <v>47.03</v>
      </c>
      <c r="N67" s="115">
        <f t="shared" si="20"/>
        <v>47.210056936456077</v>
      </c>
      <c r="O67" s="115">
        <f>+'Proposed Rates'!D66</f>
        <v>47.210056936456077</v>
      </c>
      <c r="P67" s="115">
        <f t="shared" si="21"/>
        <v>564.36</v>
      </c>
      <c r="Q67" s="115">
        <f t="shared" si="22"/>
        <v>566.52068323747289</v>
      </c>
      <c r="R67" s="115">
        <f t="shared" si="23"/>
        <v>2.160683237472881</v>
      </c>
      <c r="S67" s="115">
        <f t="shared" si="24"/>
        <v>566.52068323747289</v>
      </c>
      <c r="T67" s="115">
        <f t="shared" si="25"/>
        <v>0</v>
      </c>
      <c r="U67" s="114">
        <f t="shared" si="26"/>
        <v>47.210056936456077</v>
      </c>
      <c r="V67" s="114">
        <f t="shared" si="27"/>
        <v>566.52068323747289</v>
      </c>
      <c r="W67" s="114">
        <f t="shared" si="28"/>
        <v>2.160683237472881</v>
      </c>
      <c r="X67" s="209">
        <f t="shared" si="13"/>
        <v>-4.3964831775156199E-14</v>
      </c>
    </row>
    <row r="68" spans="1:31">
      <c r="A68" s="217"/>
      <c r="B68" s="153">
        <v>29</v>
      </c>
      <c r="C68" s="100" t="s">
        <v>577</v>
      </c>
      <c r="D68" s="101">
        <f>+'Company Regulated Cust Count'!AC105+'Company Regulated Cust Count'!AC106</f>
        <v>52.162992797079376</v>
      </c>
      <c r="E68" s="155">
        <f>+References!B13</f>
        <v>1</v>
      </c>
      <c r="F68" s="101">
        <f t="shared" si="29"/>
        <v>625.95591356495254</v>
      </c>
      <c r="G68" s="101">
        <f>+References!B32</f>
        <v>250</v>
      </c>
      <c r="H68" s="101">
        <f t="shared" si="18"/>
        <v>156488.97839123814</v>
      </c>
      <c r="I68" s="101">
        <f t="shared" si="16"/>
        <v>144490.54007257469</v>
      </c>
      <c r="J68" s="115">
        <f>+I68*References!$C$55</f>
        <v>110.5352631555199</v>
      </c>
      <c r="K68" s="115">
        <f>+J68/References!$G$58</f>
        <v>112.70770415307034</v>
      </c>
      <c r="L68" s="115">
        <f t="shared" si="19"/>
        <v>0.18005693645607709</v>
      </c>
      <c r="M68" s="115">
        <f>+'Proposed Rates'!B66</f>
        <v>47.03</v>
      </c>
      <c r="N68" s="115">
        <f t="shared" si="20"/>
        <v>47.210056936456077</v>
      </c>
      <c r="O68" s="115">
        <f>+'Proposed Rates'!D66</f>
        <v>47.210056936456077</v>
      </c>
      <c r="P68" s="115">
        <f t="shared" si="21"/>
        <v>29438.706614959719</v>
      </c>
      <c r="Q68" s="115">
        <f t="shared" si="22"/>
        <v>29551.414319112788</v>
      </c>
      <c r="R68" s="115">
        <f t="shared" si="23"/>
        <v>112.70770415306833</v>
      </c>
      <c r="S68" s="115">
        <f t="shared" si="24"/>
        <v>29551.414319112788</v>
      </c>
      <c r="T68" s="115">
        <f t="shared" si="25"/>
        <v>0</v>
      </c>
      <c r="U68" s="114">
        <f t="shared" si="26"/>
        <v>47.210056936456077</v>
      </c>
      <c r="V68" s="114">
        <f t="shared" si="27"/>
        <v>29551.414319112788</v>
      </c>
      <c r="W68" s="114">
        <f t="shared" si="28"/>
        <v>112.70770415306833</v>
      </c>
      <c r="X68" s="209">
        <f t="shared" si="13"/>
        <v>-2.0037305148434825E-12</v>
      </c>
    </row>
    <row r="69" spans="1:31">
      <c r="A69" s="217"/>
      <c r="B69" s="153">
        <v>29</v>
      </c>
      <c r="C69" s="100" t="s">
        <v>357</v>
      </c>
      <c r="D69" s="101">
        <f>+'Company Regulated Cust Count'!AC105+'Company Regulated Cust Count'!AC106</f>
        <v>52.162992797079376</v>
      </c>
      <c r="E69" s="113">
        <f>+References!B11</f>
        <v>4.333333333333333</v>
      </c>
      <c r="F69" s="101">
        <f>+D69*E69*12-F68</f>
        <v>2086.5197118831748</v>
      </c>
      <c r="G69" s="101">
        <f>+References!B32</f>
        <v>250</v>
      </c>
      <c r="H69" s="101">
        <f t="shared" si="18"/>
        <v>521629.92797079368</v>
      </c>
      <c r="I69" s="101">
        <f t="shared" si="16"/>
        <v>481635.13357524888</v>
      </c>
      <c r="J69" s="115">
        <f>+I69*References!$C$55</f>
        <v>368.45087718506625</v>
      </c>
      <c r="K69" s="115">
        <f>+J69/References!$G$58</f>
        <v>375.69234717690102</v>
      </c>
      <c r="L69" s="115">
        <f t="shared" si="19"/>
        <v>0.18005693645607707</v>
      </c>
      <c r="M69" s="115">
        <f>+'Proposed Rates'!B74</f>
        <v>26.31</v>
      </c>
      <c r="N69" s="115">
        <f t="shared" si="20"/>
        <v>26.490056936456075</v>
      </c>
      <c r="O69" s="115">
        <f>+'Proposed Rates'!D74</f>
        <v>26.490056936456075</v>
      </c>
      <c r="P69" s="115">
        <f t="shared" si="21"/>
        <v>54896.333619646328</v>
      </c>
      <c r="Q69" s="115">
        <f t="shared" si="22"/>
        <v>55272.025966823225</v>
      </c>
      <c r="R69" s="115">
        <f t="shared" si="23"/>
        <v>375.69234717689687</v>
      </c>
      <c r="S69" s="115">
        <f t="shared" si="24"/>
        <v>55272.025966823225</v>
      </c>
      <c r="T69" s="115">
        <f t="shared" si="25"/>
        <v>0</v>
      </c>
      <c r="U69" s="114">
        <f t="shared" si="26"/>
        <v>26.490056936456075</v>
      </c>
      <c r="V69" s="114">
        <f t="shared" si="27"/>
        <v>55272.025966823225</v>
      </c>
      <c r="W69" s="114">
        <f t="shared" si="28"/>
        <v>375.69234717689687</v>
      </c>
      <c r="X69" s="209">
        <f t="shared" si="13"/>
        <v>-4.1495695768389851E-12</v>
      </c>
    </row>
    <row r="70" spans="1:31">
      <c r="A70" s="217"/>
      <c r="B70" s="153">
        <v>29</v>
      </c>
      <c r="C70" s="100" t="s">
        <v>579</v>
      </c>
      <c r="D70" s="101">
        <f>+'Company Regulated Cust Count'!AC107+'Company Regulated Cust Count'!AC108</f>
        <v>1.339122529537405</v>
      </c>
      <c r="E70" s="155">
        <f>+References!B13</f>
        <v>1</v>
      </c>
      <c r="F70" s="101">
        <f t="shared" si="29"/>
        <v>16.06947035444886</v>
      </c>
      <c r="G70" s="101">
        <f>+References!B32</f>
        <v>250</v>
      </c>
      <c r="H70" s="101">
        <f t="shared" si="18"/>
        <v>4017.3675886122151</v>
      </c>
      <c r="I70" s="101">
        <f t="shared" si="16"/>
        <v>3709.3450191578272</v>
      </c>
      <c r="J70" s="115">
        <f>+I70*References!$C$55</f>
        <v>2.8376489396557445</v>
      </c>
      <c r="K70" s="115">
        <f>+J70/References!$G$58</f>
        <v>2.8934196024938128</v>
      </c>
      <c r="L70" s="115">
        <f t="shared" si="19"/>
        <v>0.18005693645607707</v>
      </c>
      <c r="M70" s="115">
        <f>+'Proposed Rates'!B66</f>
        <v>47.03</v>
      </c>
      <c r="N70" s="115">
        <f t="shared" si="20"/>
        <v>47.210056936456077</v>
      </c>
      <c r="O70" s="115">
        <f>+'Proposed Rates'!D66</f>
        <v>47.210056936456077</v>
      </c>
      <c r="P70" s="115">
        <f t="shared" si="21"/>
        <v>755.74719076972997</v>
      </c>
      <c r="Q70" s="115">
        <f t="shared" si="22"/>
        <v>758.6406103722237</v>
      </c>
      <c r="R70" s="115">
        <f t="shared" si="23"/>
        <v>2.8934196024937364</v>
      </c>
      <c r="S70" s="115">
        <f t="shared" si="24"/>
        <v>758.6406103722237</v>
      </c>
      <c r="T70" s="115">
        <f t="shared" si="25"/>
        <v>0</v>
      </c>
      <c r="U70" s="114">
        <f t="shared" si="26"/>
        <v>47.210056936456077</v>
      </c>
      <c r="V70" s="114">
        <f t="shared" si="27"/>
        <v>758.6406103722237</v>
      </c>
      <c r="W70" s="114">
        <f t="shared" si="28"/>
        <v>2.8934196024937364</v>
      </c>
      <c r="X70" s="209">
        <f t="shared" si="13"/>
        <v>-7.638334409421077E-14</v>
      </c>
    </row>
    <row r="71" spans="1:31">
      <c r="A71" s="217"/>
      <c r="B71" s="153">
        <v>29</v>
      </c>
      <c r="C71" s="100" t="s">
        <v>360</v>
      </c>
      <c r="D71" s="101">
        <f>+'Company Regulated Cust Count'!AC107+'Company Regulated Cust Count'!AC108</f>
        <v>1.339122529537405</v>
      </c>
      <c r="E71" s="113">
        <f>+References!B10</f>
        <v>8.6666666666666661</v>
      </c>
      <c r="F71" s="101">
        <f>+D71*E71*12-F70</f>
        <v>123.19927271744126</v>
      </c>
      <c r="G71" s="101">
        <f>+References!B32</f>
        <v>250</v>
      </c>
      <c r="H71" s="101">
        <f t="shared" si="18"/>
        <v>30799.818179360314</v>
      </c>
      <c r="I71" s="101">
        <f t="shared" si="16"/>
        <v>28438.31181354334</v>
      </c>
      <c r="J71" s="115">
        <f>+I71*References!$C$55</f>
        <v>21.755308537360705</v>
      </c>
      <c r="K71" s="115">
        <f>+J71/References!$G$58</f>
        <v>22.182883619119227</v>
      </c>
      <c r="L71" s="115">
        <f t="shared" si="19"/>
        <v>0.18005693645607704</v>
      </c>
      <c r="M71" s="115">
        <f>+'Proposed Rates'!B74</f>
        <v>26.31</v>
      </c>
      <c r="N71" s="115">
        <f t="shared" si="20"/>
        <v>26.490056936456075</v>
      </c>
      <c r="O71" s="115">
        <f>+'Proposed Rates'!D74</f>
        <v>26.490056936456075</v>
      </c>
      <c r="P71" s="115">
        <f t="shared" si="21"/>
        <v>3241.3728651958795</v>
      </c>
      <c r="Q71" s="115">
        <f t="shared" si="22"/>
        <v>3263.5557488149984</v>
      </c>
      <c r="R71" s="115">
        <f t="shared" si="23"/>
        <v>22.182883619118911</v>
      </c>
      <c r="S71" s="115">
        <f t="shared" si="24"/>
        <v>3263.5557488149984</v>
      </c>
      <c r="T71" s="115">
        <f t="shared" si="25"/>
        <v>0</v>
      </c>
      <c r="U71" s="114">
        <f t="shared" si="26"/>
        <v>26.490056936456075</v>
      </c>
      <c r="V71" s="114">
        <f t="shared" si="27"/>
        <v>3263.5557488149984</v>
      </c>
      <c r="W71" s="114">
        <f t="shared" si="28"/>
        <v>22.182883619118911</v>
      </c>
      <c r="X71" s="209">
        <f t="shared" si="13"/>
        <v>-3.1619151741324458E-13</v>
      </c>
    </row>
    <row r="72" spans="1:31">
      <c r="A72" s="217"/>
      <c r="B72" s="153">
        <v>29</v>
      </c>
      <c r="C72" s="100" t="s">
        <v>580</v>
      </c>
      <c r="D72" s="101">
        <f>+'Company Regulated Cust Count'!AC109+'Company Regulated Cust Count'!AC110</f>
        <v>36.083377098329763</v>
      </c>
      <c r="E72" s="155">
        <f>+References!B13</f>
        <v>1</v>
      </c>
      <c r="F72" s="101">
        <f t="shared" si="29"/>
        <v>433.00052517995715</v>
      </c>
      <c r="G72" s="101">
        <f>+References!B32</f>
        <v>250</v>
      </c>
      <c r="H72" s="101">
        <f t="shared" si="18"/>
        <v>108250.13129498929</v>
      </c>
      <c r="I72" s="101">
        <f t="shared" si="16"/>
        <v>99950.297423731361</v>
      </c>
      <c r="J72" s="115">
        <f>+I72*References!$C$55</f>
        <v>76.461977529154666</v>
      </c>
      <c r="K72" s="115">
        <f>+J72/References!$G$58</f>
        <v>77.964748047775544</v>
      </c>
      <c r="L72" s="115">
        <f t="shared" si="19"/>
        <v>0.18005693645607707</v>
      </c>
      <c r="M72" s="115">
        <f>+'Proposed Rates'!B66</f>
        <v>47.03</v>
      </c>
      <c r="N72" s="115">
        <f t="shared" si="20"/>
        <v>47.210056936456077</v>
      </c>
      <c r="O72" s="115">
        <f>+'Proposed Rates'!D66</f>
        <v>47.210056936456077</v>
      </c>
      <c r="P72" s="115">
        <f t="shared" si="21"/>
        <v>20364.014699213385</v>
      </c>
      <c r="Q72" s="115">
        <f t="shared" si="22"/>
        <v>20441.979447261161</v>
      </c>
      <c r="R72" s="115">
        <f t="shared" si="23"/>
        <v>77.964748047776084</v>
      </c>
      <c r="S72" s="115">
        <f t="shared" si="24"/>
        <v>20441.979447261161</v>
      </c>
      <c r="T72" s="115">
        <f t="shared" si="25"/>
        <v>0</v>
      </c>
      <c r="U72" s="114">
        <f t="shared" si="26"/>
        <v>47.210056936456077</v>
      </c>
      <c r="V72" s="114">
        <f t="shared" si="27"/>
        <v>20441.979447261161</v>
      </c>
      <c r="W72" s="114">
        <f t="shared" si="28"/>
        <v>77.964748047776084</v>
      </c>
      <c r="X72" s="209">
        <f t="shared" ref="X72:X135" si="30">W72-K72</f>
        <v>5.4001247917767614E-13</v>
      </c>
    </row>
    <row r="73" spans="1:31">
      <c r="A73" s="217"/>
      <c r="B73" s="153">
        <v>29</v>
      </c>
      <c r="C73" s="100" t="s">
        <v>363</v>
      </c>
      <c r="D73" s="101">
        <f>+'Company Regulated Cust Count'!AC109+'Company Regulated Cust Count'!AC110</f>
        <v>36.083377098329763</v>
      </c>
      <c r="E73" s="113">
        <f>+References!B12</f>
        <v>2.1666666666666665</v>
      </c>
      <c r="F73" s="101">
        <f>+D73*E73*12-F72</f>
        <v>505.16727937661659</v>
      </c>
      <c r="G73" s="101">
        <f>+References!B32</f>
        <v>250</v>
      </c>
      <c r="H73" s="101">
        <f t="shared" si="18"/>
        <v>126291.81984415415</v>
      </c>
      <c r="I73" s="101">
        <f t="shared" si="16"/>
        <v>116608.68032768657</v>
      </c>
      <c r="J73" s="115">
        <f>+I73*References!$C$55</f>
        <v>89.205640450680434</v>
      </c>
      <c r="K73" s="115">
        <f>+J73/References!$G$58</f>
        <v>90.958872722404791</v>
      </c>
      <c r="L73" s="115">
        <f t="shared" si="19"/>
        <v>0.18005693645607709</v>
      </c>
      <c r="M73" s="115">
        <f>+'Proposed Rates'!B74</f>
        <v>26.31</v>
      </c>
      <c r="N73" s="115">
        <f t="shared" si="20"/>
        <v>26.490056936456075</v>
      </c>
      <c r="O73" s="115">
        <f>+'Proposed Rates'!D74</f>
        <v>26.490056936456075</v>
      </c>
      <c r="P73" s="115">
        <f t="shared" si="21"/>
        <v>13290.951120398782</v>
      </c>
      <c r="Q73" s="115">
        <f t="shared" si="22"/>
        <v>13381.909993121186</v>
      </c>
      <c r="R73" s="115">
        <f t="shared" si="23"/>
        <v>90.958872722403612</v>
      </c>
      <c r="S73" s="115">
        <f t="shared" si="24"/>
        <v>13381.909993121186</v>
      </c>
      <c r="T73" s="115">
        <f t="shared" si="25"/>
        <v>0</v>
      </c>
      <c r="U73" s="114">
        <f t="shared" si="26"/>
        <v>26.490056936456075</v>
      </c>
      <c r="V73" s="114">
        <f t="shared" si="27"/>
        <v>13381.909993121186</v>
      </c>
      <c r="W73" s="114">
        <f t="shared" si="28"/>
        <v>90.958872722403612</v>
      </c>
      <c r="X73" s="209">
        <f t="shared" si="30"/>
        <v>-1.1795009413617663E-12</v>
      </c>
    </row>
    <row r="74" spans="1:31">
      <c r="A74" s="217"/>
      <c r="B74" s="153">
        <v>29</v>
      </c>
      <c r="C74" s="100" t="s">
        <v>581</v>
      </c>
      <c r="D74" s="101">
        <f>+'Company Regulated Cust Count'!AC111+'Company Regulated Cust Count'!AC112</f>
        <v>44.482984899308562</v>
      </c>
      <c r="E74" s="155">
        <f>+References!B13</f>
        <v>1</v>
      </c>
      <c r="F74" s="101">
        <f t="shared" si="29"/>
        <v>533.79581879170269</v>
      </c>
      <c r="G74" s="101">
        <f>+References!B33</f>
        <v>324</v>
      </c>
      <c r="H74" s="101">
        <f t="shared" si="18"/>
        <v>172949.84528851166</v>
      </c>
      <c r="I74" s="101">
        <f t="shared" si="16"/>
        <v>159689.30724775224</v>
      </c>
      <c r="J74" s="115">
        <f>+I74*References!$C$55</f>
        <v>122.16232004453074</v>
      </c>
      <c r="K74" s="115">
        <f>+J74/References!$G$58</f>
        <v>124.56327721280762</v>
      </c>
      <c r="L74" s="115">
        <f t="shared" si="19"/>
        <v>0.23335378964707587</v>
      </c>
      <c r="M74" s="115">
        <f>+'Proposed Rates'!B67</f>
        <v>57.28</v>
      </c>
      <c r="N74" s="115">
        <f t="shared" si="20"/>
        <v>57.513353789647077</v>
      </c>
      <c r="O74" s="115">
        <f>+'Proposed Rates'!D67</f>
        <v>57.513353789647077</v>
      </c>
      <c r="P74" s="115">
        <f t="shared" si="21"/>
        <v>30575.824500388731</v>
      </c>
      <c r="Q74" s="115">
        <f t="shared" si="22"/>
        <v>30700.38777760154</v>
      </c>
      <c r="R74" s="115">
        <f t="shared" si="23"/>
        <v>124.56327721280832</v>
      </c>
      <c r="S74" s="115">
        <f t="shared" si="24"/>
        <v>30700.38777760154</v>
      </c>
      <c r="T74" s="115">
        <f t="shared" si="25"/>
        <v>0</v>
      </c>
      <c r="U74" s="114">
        <f t="shared" si="26"/>
        <v>57.513353789647077</v>
      </c>
      <c r="V74" s="114">
        <f t="shared" si="27"/>
        <v>30700.38777760154</v>
      </c>
      <c r="W74" s="114">
        <f t="shared" si="28"/>
        <v>124.56327721280832</v>
      </c>
      <c r="X74" s="209">
        <f t="shared" si="30"/>
        <v>6.9633188104489818E-13</v>
      </c>
    </row>
    <row r="75" spans="1:31">
      <c r="A75" s="217"/>
      <c r="B75" s="153">
        <v>29</v>
      </c>
      <c r="C75" s="100" t="s">
        <v>366</v>
      </c>
      <c r="D75" s="101">
        <f>+'Company Regulated Cust Count'!AC111+'Company Regulated Cust Count'!AC112</f>
        <v>44.482984899308562</v>
      </c>
      <c r="E75" s="113">
        <f>+References!B11</f>
        <v>4.333333333333333</v>
      </c>
      <c r="F75" s="101">
        <f>+D75*E75*12-F74</f>
        <v>1779.3193959723424</v>
      </c>
      <c r="G75" s="101">
        <f>+References!B33</f>
        <v>324</v>
      </c>
      <c r="H75" s="101">
        <f t="shared" si="18"/>
        <v>576499.48429503897</v>
      </c>
      <c r="I75" s="101">
        <f t="shared" si="16"/>
        <v>532297.69082584092</v>
      </c>
      <c r="J75" s="115">
        <f>+I75*References!$C$55</f>
        <v>407.20773348176925</v>
      </c>
      <c r="K75" s="115">
        <f>+J75/References!$G$58</f>
        <v>415.21092404269217</v>
      </c>
      <c r="L75" s="115">
        <f t="shared" si="19"/>
        <v>0.23335378964707593</v>
      </c>
      <c r="M75" s="115">
        <f>+'Proposed Rates'!B75</f>
        <v>35.200000000000003</v>
      </c>
      <c r="N75" s="115">
        <f t="shared" si="20"/>
        <v>35.433353789647079</v>
      </c>
      <c r="O75" s="115">
        <f>+'Proposed Rates'!D75</f>
        <v>35.433353789647079</v>
      </c>
      <c r="P75" s="115">
        <f t="shared" si="21"/>
        <v>62632.042738226453</v>
      </c>
      <c r="Q75" s="115">
        <f t="shared" si="22"/>
        <v>63047.253662269148</v>
      </c>
      <c r="R75" s="115">
        <f t="shared" si="23"/>
        <v>415.21092404269439</v>
      </c>
      <c r="S75" s="115">
        <f t="shared" si="24"/>
        <v>63047.253662269148</v>
      </c>
      <c r="T75" s="115">
        <f t="shared" si="25"/>
        <v>0</v>
      </c>
      <c r="U75" s="114">
        <f t="shared" si="26"/>
        <v>35.433353789647079</v>
      </c>
      <c r="V75" s="114">
        <f t="shared" si="27"/>
        <v>63047.253662269148</v>
      </c>
      <c r="W75" s="114">
        <f t="shared" si="28"/>
        <v>415.21092404269439</v>
      </c>
      <c r="X75" s="209">
        <f t="shared" si="30"/>
        <v>2.2168933355715126E-12</v>
      </c>
    </row>
    <row r="76" spans="1:31">
      <c r="A76" s="217"/>
      <c r="B76" s="153">
        <v>29</v>
      </c>
      <c r="C76" s="100" t="s">
        <v>582</v>
      </c>
      <c r="D76" s="101">
        <f>+'Company Regulated Cust Count'!AC113+'Company Regulated Cust Count'!AC114</f>
        <v>3.7037031327084362</v>
      </c>
      <c r="E76" s="155">
        <f>+References!B13</f>
        <v>1</v>
      </c>
      <c r="F76" s="101">
        <f t="shared" si="29"/>
        <v>44.444437592501231</v>
      </c>
      <c r="G76" s="101">
        <f>+References!B33</f>
        <v>324</v>
      </c>
      <c r="H76" s="101">
        <f t="shared" si="18"/>
        <v>14399.997779970399</v>
      </c>
      <c r="I76" s="101">
        <f t="shared" si="16"/>
        <v>13295.91053415872</v>
      </c>
      <c r="J76" s="115">
        <f>+I76*References!$C$55</f>
        <v>10.171371558631444</v>
      </c>
      <c r="K76" s="115">
        <f>+J76/References!$G$58</f>
        <v>10.371277940943123</v>
      </c>
      <c r="L76" s="115">
        <f t="shared" si="19"/>
        <v>0.23335378964707587</v>
      </c>
      <c r="M76" s="115">
        <f>+'Proposed Rates'!B67</f>
        <v>57.28</v>
      </c>
      <c r="N76" s="115">
        <f t="shared" si="20"/>
        <v>57.513353789647077</v>
      </c>
      <c r="O76" s="115">
        <f>+'Proposed Rates'!D67</f>
        <v>57.513353789647077</v>
      </c>
      <c r="P76" s="115">
        <f t="shared" si="21"/>
        <v>2545.7773852984706</v>
      </c>
      <c r="Q76" s="115">
        <f t="shared" si="22"/>
        <v>2556.1486632394135</v>
      </c>
      <c r="R76" s="115">
        <f t="shared" si="23"/>
        <v>10.371277940942946</v>
      </c>
      <c r="S76" s="115">
        <f t="shared" si="24"/>
        <v>2556.1486632394135</v>
      </c>
      <c r="T76" s="115">
        <f t="shared" si="25"/>
        <v>0</v>
      </c>
      <c r="U76" s="114">
        <f t="shared" si="26"/>
        <v>57.513353789647077</v>
      </c>
      <c r="V76" s="114">
        <f t="shared" si="27"/>
        <v>2556.1486632394135</v>
      </c>
      <c r="W76" s="114">
        <f t="shared" si="28"/>
        <v>10.371277940942946</v>
      </c>
      <c r="X76" s="209">
        <f t="shared" si="30"/>
        <v>-1.7763568394002505E-13</v>
      </c>
    </row>
    <row r="77" spans="1:31">
      <c r="A77" s="217"/>
      <c r="B77" s="153">
        <v>29</v>
      </c>
      <c r="C77" s="100" t="s">
        <v>369</v>
      </c>
      <c r="D77" s="101">
        <f>+'Company Regulated Cust Count'!AC113+'Company Regulated Cust Count'!AC114</f>
        <v>3.7037031327084362</v>
      </c>
      <c r="E77" s="113">
        <f>+References!B10</f>
        <v>8.6666666666666661</v>
      </c>
      <c r="F77" s="101">
        <f>+D77*E77*12-F76</f>
        <v>340.74068820917614</v>
      </c>
      <c r="G77" s="101">
        <f>+References!B33</f>
        <v>324</v>
      </c>
      <c r="H77" s="101">
        <f t="shared" si="18"/>
        <v>110399.98297977306</v>
      </c>
      <c r="I77" s="101">
        <f t="shared" si="16"/>
        <v>101935.31409521686</v>
      </c>
      <c r="J77" s="115">
        <f>+I77*References!$C$55</f>
        <v>77.980515282841083</v>
      </c>
      <c r="K77" s="115">
        <f>+J77/References!$G$58</f>
        <v>79.513130880563949</v>
      </c>
      <c r="L77" s="115">
        <f t="shared" si="19"/>
        <v>0.23335378964707584</v>
      </c>
      <c r="M77" s="115">
        <f>+'Proposed Rates'!B75</f>
        <v>35.200000000000003</v>
      </c>
      <c r="N77" s="115">
        <f t="shared" si="20"/>
        <v>35.433353789647079</v>
      </c>
      <c r="O77" s="115">
        <f>+'Proposed Rates'!D75</f>
        <v>35.433353789647079</v>
      </c>
      <c r="P77" s="115">
        <f t="shared" si="21"/>
        <v>11994.072224963002</v>
      </c>
      <c r="Q77" s="115">
        <f t="shared" si="22"/>
        <v>12073.585355843565</v>
      </c>
      <c r="R77" s="115">
        <f t="shared" si="23"/>
        <v>79.51313088056304</v>
      </c>
      <c r="S77" s="115">
        <f t="shared" si="24"/>
        <v>12073.585355843565</v>
      </c>
      <c r="T77" s="115">
        <f t="shared" si="25"/>
        <v>0</v>
      </c>
      <c r="U77" s="114">
        <f t="shared" si="26"/>
        <v>35.433353789647079</v>
      </c>
      <c r="V77" s="114">
        <f t="shared" si="27"/>
        <v>12073.585355843565</v>
      </c>
      <c r="W77" s="114">
        <f t="shared" si="28"/>
        <v>79.51313088056304</v>
      </c>
      <c r="X77" s="209">
        <f t="shared" si="30"/>
        <v>-9.0949470177292824E-13</v>
      </c>
    </row>
    <row r="78" spans="1:31">
      <c r="A78" s="217"/>
      <c r="B78" s="153">
        <v>29</v>
      </c>
      <c r="C78" s="100" t="s">
        <v>583</v>
      </c>
      <c r="D78" s="101">
        <f>+'Company Regulated Cust Count'!AC115+'Company Regulated Cust Count'!AC116</f>
        <v>15.979181576525919</v>
      </c>
      <c r="E78" s="155">
        <f>+References!B13</f>
        <v>1</v>
      </c>
      <c r="F78" s="101">
        <f t="shared" si="29"/>
        <v>191.75017891831104</v>
      </c>
      <c r="G78" s="101">
        <f>+References!B33</f>
        <v>324</v>
      </c>
      <c r="H78" s="101">
        <f t="shared" si="18"/>
        <v>62127.057969532776</v>
      </c>
      <c r="I78" s="101">
        <f t="shared" si="16"/>
        <v>57363.606379326702</v>
      </c>
      <c r="J78" s="115">
        <f>+I78*References!$C$55</f>
        <v>43.883158880185029</v>
      </c>
      <c r="K78" s="115">
        <f>+J78/References!$G$58</f>
        <v>44.745630916092715</v>
      </c>
      <c r="L78" s="115">
        <f t="shared" si="19"/>
        <v>0.23335378964707587</v>
      </c>
      <c r="M78" s="115">
        <f>+'Proposed Rates'!B67</f>
        <v>57.28</v>
      </c>
      <c r="N78" s="115">
        <f t="shared" si="20"/>
        <v>57.513353789647077</v>
      </c>
      <c r="O78" s="115">
        <f>+'Proposed Rates'!D67</f>
        <v>57.513353789647077</v>
      </c>
      <c r="P78" s="115">
        <f t="shared" si="21"/>
        <v>10983.450248440857</v>
      </c>
      <c r="Q78" s="115">
        <f t="shared" si="22"/>
        <v>11028.195879356948</v>
      </c>
      <c r="R78" s="115">
        <f t="shared" si="23"/>
        <v>44.745630916091613</v>
      </c>
      <c r="S78" s="115">
        <f t="shared" si="24"/>
        <v>11028.195879356948</v>
      </c>
      <c r="T78" s="115">
        <f t="shared" si="25"/>
        <v>0</v>
      </c>
      <c r="U78" s="114">
        <f t="shared" si="26"/>
        <v>57.513353789647077</v>
      </c>
      <c r="V78" s="114">
        <f t="shared" si="27"/>
        <v>11028.195879356948</v>
      </c>
      <c r="W78" s="114">
        <f t="shared" si="28"/>
        <v>44.745630916091613</v>
      </c>
      <c r="X78" s="209">
        <f t="shared" si="30"/>
        <v>-1.1013412404281553E-12</v>
      </c>
    </row>
    <row r="79" spans="1:31">
      <c r="A79" s="217"/>
      <c r="B79" s="153">
        <v>29</v>
      </c>
      <c r="C79" s="100" t="s">
        <v>372</v>
      </c>
      <c r="D79" s="101">
        <f>+'Company Regulated Cust Count'!AC115+'Company Regulated Cust Count'!AC116</f>
        <v>15.979181576525919</v>
      </c>
      <c r="E79" s="113">
        <f>+References!B12</f>
        <v>2.1666666666666665</v>
      </c>
      <c r="F79" s="101">
        <f>+D79*E79*12-F78</f>
        <v>223.70854207136287</v>
      </c>
      <c r="G79" s="101">
        <f>+References!B33</f>
        <v>324</v>
      </c>
      <c r="H79" s="101">
        <f t="shared" si="18"/>
        <v>72481.567631121565</v>
      </c>
      <c r="I79" s="101">
        <f t="shared" si="16"/>
        <v>66924.207442547806</v>
      </c>
      <c r="J79" s="115">
        <f>+I79*References!$C$55</f>
        <v>51.19701869354919</v>
      </c>
      <c r="K79" s="115">
        <f>+J79/References!$G$58</f>
        <v>52.203236068774828</v>
      </c>
      <c r="L79" s="115">
        <f t="shared" si="19"/>
        <v>0.23335378964707584</v>
      </c>
      <c r="M79" s="115">
        <f>+'Proposed Rates'!B75</f>
        <v>35.200000000000003</v>
      </c>
      <c r="N79" s="115">
        <f t="shared" si="20"/>
        <v>35.433353789647079</v>
      </c>
      <c r="O79" s="115">
        <f>+'Proposed Rates'!D75</f>
        <v>35.433353789647079</v>
      </c>
      <c r="P79" s="115">
        <f t="shared" si="21"/>
        <v>7874.5406809119741</v>
      </c>
      <c r="Q79" s="115">
        <f t="shared" si="22"/>
        <v>7926.7439169807485</v>
      </c>
      <c r="R79" s="115">
        <f t="shared" si="23"/>
        <v>52.203236068774459</v>
      </c>
      <c r="S79" s="115">
        <f t="shared" si="24"/>
        <v>7926.7439169807485</v>
      </c>
      <c r="T79" s="115">
        <f t="shared" si="25"/>
        <v>0</v>
      </c>
      <c r="U79" s="114">
        <f t="shared" si="26"/>
        <v>35.433353789647079</v>
      </c>
      <c r="V79" s="114">
        <f t="shared" si="27"/>
        <v>7926.7439169807485</v>
      </c>
      <c r="W79" s="114">
        <f t="shared" si="28"/>
        <v>52.203236068774459</v>
      </c>
      <c r="X79" s="209">
        <f t="shared" si="30"/>
        <v>-3.694822225952521E-13</v>
      </c>
    </row>
    <row r="80" spans="1:31" s="130" customFormat="1">
      <c r="A80" s="217"/>
      <c r="B80" s="153">
        <v>29</v>
      </c>
      <c r="C80" s="130" t="s">
        <v>584</v>
      </c>
      <c r="D80" s="101">
        <f>+'Company Regulated Cust Count'!AC117</f>
        <v>16.104177743241589</v>
      </c>
      <c r="E80" s="155">
        <f>+References!B13</f>
        <v>1</v>
      </c>
      <c r="F80" s="101">
        <f t="shared" ref="F80" si="31">+D80*E80*12</f>
        <v>193.25013291889906</v>
      </c>
      <c r="G80" s="101">
        <f>+References!B34</f>
        <v>473</v>
      </c>
      <c r="H80" s="101">
        <f t="shared" ref="H80" si="32">+F80*G80</f>
        <v>91407.31287063926</v>
      </c>
      <c r="I80" s="101">
        <f t="shared" si="16"/>
        <v>84398.8639905452</v>
      </c>
      <c r="J80" s="115">
        <f>+I80*References!$C$55</f>
        <v>64.565130952767234</v>
      </c>
      <c r="K80" s="115">
        <f>+J80/References!$G$58</f>
        <v>65.834082900677799</v>
      </c>
      <c r="L80" s="115">
        <f t="shared" ref="L80" si="33">+K80/F80</f>
        <v>0.34066772377489785</v>
      </c>
      <c r="M80" s="115">
        <f>+'Proposed Rates'!B68</f>
        <v>77.25</v>
      </c>
      <c r="N80" s="115">
        <f t="shared" ref="N80" si="34">+L80+M80</f>
        <v>77.590667723774899</v>
      </c>
      <c r="O80" s="115">
        <f>+'Proposed Rates'!D68</f>
        <v>77.590667723774899</v>
      </c>
      <c r="P80" s="115">
        <f t="shared" ref="P80" si="35">+F80*M80</f>
        <v>14928.572767984951</v>
      </c>
      <c r="Q80" s="115">
        <f t="shared" ref="Q80" si="36">+F80*O80</f>
        <v>14994.406850885631</v>
      </c>
      <c r="R80" s="115">
        <f t="shared" ref="R80" si="37">+Q80-P80</f>
        <v>65.834082900679277</v>
      </c>
      <c r="S80" s="115">
        <f t="shared" ref="S80" si="38">+F80*N80</f>
        <v>14994.406850885631</v>
      </c>
      <c r="T80" s="115">
        <f t="shared" ref="T80" si="39">+Q80-S80</f>
        <v>0</v>
      </c>
      <c r="U80" s="114">
        <f t="shared" ref="U80" si="40">+N80</f>
        <v>77.590667723774899</v>
      </c>
      <c r="V80" s="114">
        <f t="shared" ref="V80" si="41">+F80*U80</f>
        <v>14994.406850885631</v>
      </c>
      <c r="W80" s="114">
        <f t="shared" ref="W80" si="42">+V80-P80</f>
        <v>65.834082900679277</v>
      </c>
      <c r="X80" s="209">
        <f t="shared" si="30"/>
        <v>1.4779288903810084E-12</v>
      </c>
      <c r="AA80" s="112"/>
      <c r="AB80" s="112"/>
      <c r="AC80" s="112"/>
      <c r="AD80" s="112"/>
      <c r="AE80" s="112"/>
    </row>
    <row r="81" spans="1:31">
      <c r="A81" s="217"/>
      <c r="B81" s="153">
        <v>29</v>
      </c>
      <c r="C81" s="100" t="s">
        <v>375</v>
      </c>
      <c r="D81" s="101">
        <f>+'Company Regulated Cust Count'!AC117</f>
        <v>16.104177743241589</v>
      </c>
      <c r="E81" s="113">
        <f>+References!B11</f>
        <v>4.333333333333333</v>
      </c>
      <c r="F81" s="101">
        <f>+D81*E81*12-F80</f>
        <v>644.16710972966371</v>
      </c>
      <c r="G81" s="101">
        <f>+References!B34</f>
        <v>473</v>
      </c>
      <c r="H81" s="101">
        <f t="shared" si="18"/>
        <v>304691.04290213092</v>
      </c>
      <c r="I81" s="101">
        <f t="shared" si="16"/>
        <v>281329.54663515073</v>
      </c>
      <c r="J81" s="115">
        <f>+I81*References!$C$55</f>
        <v>215.21710317589083</v>
      </c>
      <c r="K81" s="115">
        <f>+J81/References!$G$58</f>
        <v>219.44694300225939</v>
      </c>
      <c r="L81" s="115">
        <f t="shared" si="19"/>
        <v>0.34066772377489785</v>
      </c>
      <c r="M81" s="115">
        <f>+'Proposed Rates'!B76</f>
        <v>50.8</v>
      </c>
      <c r="N81" s="115">
        <f t="shared" si="20"/>
        <v>51.140667723774897</v>
      </c>
      <c r="O81" s="115">
        <f>+'Proposed Rates'!D76</f>
        <v>51.140667723774897</v>
      </c>
      <c r="P81" s="115">
        <f t="shared" si="21"/>
        <v>32723.689174266914</v>
      </c>
      <c r="Q81" s="115">
        <f t="shared" si="22"/>
        <v>32943.136117269176</v>
      </c>
      <c r="R81" s="115">
        <f t="shared" si="23"/>
        <v>219.44694300226183</v>
      </c>
      <c r="S81" s="115">
        <f t="shared" si="24"/>
        <v>32943.136117269176</v>
      </c>
      <c r="T81" s="115">
        <f t="shared" si="25"/>
        <v>0</v>
      </c>
      <c r="U81" s="114">
        <f t="shared" si="26"/>
        <v>51.140667723774897</v>
      </c>
      <c r="V81" s="114">
        <f t="shared" si="27"/>
        <v>32943.136117269176</v>
      </c>
      <c r="W81" s="114">
        <f t="shared" si="28"/>
        <v>219.44694300226183</v>
      </c>
      <c r="X81" s="209">
        <f t="shared" si="30"/>
        <v>2.4442670110147446E-12</v>
      </c>
    </row>
    <row r="82" spans="1:31" s="130" customFormat="1">
      <c r="A82" s="217"/>
      <c r="B82" s="153">
        <v>29</v>
      </c>
      <c r="C82" s="130" t="s">
        <v>585</v>
      </c>
      <c r="D82" s="101">
        <f>+'Company Regulated Cust Count'!AC118</f>
        <v>0.62500090076456893</v>
      </c>
      <c r="E82" s="155">
        <f>+References!B13</f>
        <v>1</v>
      </c>
      <c r="F82" s="101">
        <f t="shared" ref="F82" si="43">+D82*E82*12</f>
        <v>7.5000108091748272</v>
      </c>
      <c r="G82" s="101">
        <f>+References!B34</f>
        <v>473</v>
      </c>
      <c r="H82" s="101">
        <f t="shared" ref="H82" si="44">+F82*G82</f>
        <v>3547.5051127396932</v>
      </c>
      <c r="I82" s="101">
        <f t="shared" si="16"/>
        <v>3275.5081854293567</v>
      </c>
      <c r="J82" s="115">
        <f>+I82*References!$C$55</f>
        <v>2.5057637618534638</v>
      </c>
      <c r="K82" s="115">
        <f>+J82/References!$G$58</f>
        <v>2.5550116106487182</v>
      </c>
      <c r="L82" s="115">
        <f t="shared" ref="L82" si="45">+K82/F82</f>
        <v>0.34066772377489785</v>
      </c>
      <c r="M82" s="115">
        <f>+'Proposed Rates'!B68</f>
        <v>77.25</v>
      </c>
      <c r="N82" s="115">
        <f t="shared" ref="N82" si="46">+L82+M82</f>
        <v>77.590667723774899</v>
      </c>
      <c r="O82" s="115">
        <f>+'Proposed Rates'!D68</f>
        <v>77.590667723774899</v>
      </c>
      <c r="P82" s="115">
        <f t="shared" ref="P82" si="47">+F82*M82</f>
        <v>579.37583500875542</v>
      </c>
      <c r="Q82" s="115">
        <f t="shared" ref="Q82" si="48">+F82*O82</f>
        <v>581.93084661940418</v>
      </c>
      <c r="R82" s="115">
        <f t="shared" ref="R82" si="49">+Q82-P82</f>
        <v>2.5550116106487621</v>
      </c>
      <c r="S82" s="115">
        <f t="shared" ref="S82" si="50">+F82*N82</f>
        <v>581.93084661940418</v>
      </c>
      <c r="T82" s="115">
        <f t="shared" ref="T82" si="51">+Q82-S82</f>
        <v>0</v>
      </c>
      <c r="U82" s="114">
        <f t="shared" ref="U82" si="52">+N82</f>
        <v>77.590667723774899</v>
      </c>
      <c r="V82" s="114">
        <f t="shared" ref="V82" si="53">+F82*U82</f>
        <v>581.93084661940418</v>
      </c>
      <c r="W82" s="114">
        <f t="shared" ref="W82" si="54">+V82-P82</f>
        <v>2.5550116106487621</v>
      </c>
      <c r="X82" s="209">
        <f t="shared" si="30"/>
        <v>4.3964831775156199E-14</v>
      </c>
      <c r="AA82" s="112"/>
      <c r="AB82" s="112"/>
      <c r="AC82" s="112"/>
      <c r="AD82" s="112"/>
      <c r="AE82" s="112"/>
    </row>
    <row r="83" spans="1:31">
      <c r="A83" s="217"/>
      <c r="B83" s="153">
        <v>29</v>
      </c>
      <c r="C83" s="100" t="s">
        <v>377</v>
      </c>
      <c r="D83" s="101">
        <f>+'Company Regulated Cust Count'!AC118</f>
        <v>0.62500090076456893</v>
      </c>
      <c r="E83" s="113">
        <f>+References!B10</f>
        <v>8.6666666666666661</v>
      </c>
      <c r="F83" s="101">
        <f>+D83*E83*12-F82</f>
        <v>57.50008287034035</v>
      </c>
      <c r="G83" s="101">
        <f>+References!B34</f>
        <v>473</v>
      </c>
      <c r="H83" s="101">
        <f t="shared" si="18"/>
        <v>27197.539197670987</v>
      </c>
      <c r="I83" s="101">
        <f t="shared" si="16"/>
        <v>25112.229421625074</v>
      </c>
      <c r="J83" s="115">
        <f>+I83*References!$C$55</f>
        <v>19.210855507543226</v>
      </c>
      <c r="K83" s="115">
        <f>+J83/References!$G$58</f>
        <v>19.588422348306842</v>
      </c>
      <c r="L83" s="115">
        <f t="shared" si="19"/>
        <v>0.34066772377489785</v>
      </c>
      <c r="M83" s="115">
        <f>+'Proposed Rates'!B76</f>
        <v>50.8</v>
      </c>
      <c r="N83" s="115">
        <f t="shared" si="20"/>
        <v>51.140667723774897</v>
      </c>
      <c r="O83" s="115">
        <f>+'Proposed Rates'!D76</f>
        <v>51.140667723774897</v>
      </c>
      <c r="P83" s="115">
        <f t="shared" si="21"/>
        <v>2921.0042098132894</v>
      </c>
      <c r="Q83" s="115">
        <f t="shared" si="22"/>
        <v>2940.5926321615966</v>
      </c>
      <c r="R83" s="115">
        <f t="shared" si="23"/>
        <v>19.588422348307176</v>
      </c>
      <c r="S83" s="115">
        <f t="shared" si="24"/>
        <v>2940.5926321615966</v>
      </c>
      <c r="T83" s="115">
        <f t="shared" si="25"/>
        <v>0</v>
      </c>
      <c r="U83" s="114">
        <f t="shared" si="26"/>
        <v>51.140667723774897</v>
      </c>
      <c r="V83" s="114">
        <f t="shared" si="27"/>
        <v>2940.5926321615966</v>
      </c>
      <c r="W83" s="114">
        <f t="shared" si="28"/>
        <v>19.588422348307176</v>
      </c>
      <c r="X83" s="209">
        <f t="shared" si="30"/>
        <v>3.3395508580724709E-13</v>
      </c>
    </row>
    <row r="84" spans="1:31" s="130" customFormat="1">
      <c r="A84" s="217"/>
      <c r="B84" s="153">
        <v>29</v>
      </c>
      <c r="C84" s="130" t="s">
        <v>586</v>
      </c>
      <c r="D84" s="101">
        <f>+'Company Regulated Cust Count'!AC119</f>
        <v>1</v>
      </c>
      <c r="E84" s="155">
        <f>+References!B13</f>
        <v>1</v>
      </c>
      <c r="F84" s="101">
        <f t="shared" si="29"/>
        <v>12</v>
      </c>
      <c r="G84" s="101">
        <f>+References!B34</f>
        <v>473</v>
      </c>
      <c r="H84" s="101">
        <f t="shared" ref="H84:H101" si="55">+F84*G84</f>
        <v>5676</v>
      </c>
      <c r="I84" s="101">
        <f t="shared" si="16"/>
        <v>5240.8055435158567</v>
      </c>
      <c r="J84" s="115">
        <f>+I84*References!$C$55</f>
        <v>4.0092162407896401</v>
      </c>
      <c r="K84" s="115">
        <f>+J84/References!$G$58</f>
        <v>4.0880126852987742</v>
      </c>
      <c r="L84" s="115">
        <f t="shared" ref="L84:L101" si="56">+K84/F84</f>
        <v>0.34066772377489785</v>
      </c>
      <c r="M84" s="115">
        <f>+'Proposed Rates'!B68</f>
        <v>77.25</v>
      </c>
      <c r="N84" s="115">
        <f t="shared" ref="N84:N101" si="57">+L84+M84</f>
        <v>77.590667723774899</v>
      </c>
      <c r="O84" s="115">
        <f>+'Proposed Rates'!D68</f>
        <v>77.590667723774899</v>
      </c>
      <c r="P84" s="115">
        <f t="shared" ref="P84:P101" si="58">+F84*M84</f>
        <v>927</v>
      </c>
      <c r="Q84" s="115">
        <f t="shared" ref="Q84:Q101" si="59">+F84*O84</f>
        <v>931.08801268529874</v>
      </c>
      <c r="R84" s="115">
        <f t="shared" ref="R84:R101" si="60">+Q84-P84</f>
        <v>4.088012685298736</v>
      </c>
      <c r="S84" s="115">
        <f t="shared" ref="S84:S101" si="61">+F84*N84</f>
        <v>931.08801268529874</v>
      </c>
      <c r="T84" s="115">
        <f t="shared" ref="T84:T101" si="62">+Q84-S84</f>
        <v>0</v>
      </c>
      <c r="U84" s="114">
        <f t="shared" ref="U84:U101" si="63">+N84</f>
        <v>77.590667723774899</v>
      </c>
      <c r="V84" s="114">
        <f t="shared" ref="V84:V101" si="64">+F84*U84</f>
        <v>931.08801268529874</v>
      </c>
      <c r="W84" s="114">
        <f t="shared" ref="W84:W101" si="65">+V84-P84</f>
        <v>4.088012685298736</v>
      </c>
      <c r="X84" s="209">
        <f t="shared" si="30"/>
        <v>-3.8191672047105385E-14</v>
      </c>
      <c r="AA84" s="112"/>
      <c r="AB84" s="112"/>
      <c r="AC84" s="112"/>
      <c r="AD84" s="112"/>
      <c r="AE84" s="112"/>
    </row>
    <row r="85" spans="1:31">
      <c r="A85" s="217"/>
      <c r="B85" s="153">
        <v>29</v>
      </c>
      <c r="C85" s="100" t="s">
        <v>379</v>
      </c>
      <c r="D85" s="101">
        <f>+'Company Regulated Cust Count'!AC119</f>
        <v>1</v>
      </c>
      <c r="E85" s="113">
        <f>+References!B12</f>
        <v>2.1666666666666665</v>
      </c>
      <c r="F85" s="101">
        <f>+D85*E85*12-F84</f>
        <v>14</v>
      </c>
      <c r="G85" s="101">
        <f>+References!B34</f>
        <v>473</v>
      </c>
      <c r="H85" s="101">
        <f t="shared" si="55"/>
        <v>6622</v>
      </c>
      <c r="I85" s="101">
        <f t="shared" si="16"/>
        <v>6114.2731341018325</v>
      </c>
      <c r="J85" s="115">
        <f>+I85*References!$C$55</f>
        <v>4.6774189475879124</v>
      </c>
      <c r="K85" s="115">
        <f>+J85/References!$G$58</f>
        <v>4.7693481328485685</v>
      </c>
      <c r="L85" s="115">
        <f t="shared" si="56"/>
        <v>0.34066772377489773</v>
      </c>
      <c r="M85" s="115">
        <f>+'Proposed Rates'!B76</f>
        <v>50.8</v>
      </c>
      <c r="N85" s="115">
        <f t="shared" si="57"/>
        <v>51.140667723774897</v>
      </c>
      <c r="O85" s="115">
        <f>+'Proposed Rates'!D76</f>
        <v>51.140667723774897</v>
      </c>
      <c r="P85" s="115">
        <f t="shared" si="58"/>
        <v>711.19999999999993</v>
      </c>
      <c r="Q85" s="115">
        <f t="shared" si="59"/>
        <v>715.96934813284861</v>
      </c>
      <c r="R85" s="115">
        <f t="shared" si="60"/>
        <v>4.7693481328486769</v>
      </c>
      <c r="S85" s="115">
        <f t="shared" si="61"/>
        <v>715.96934813284861</v>
      </c>
      <c r="T85" s="115">
        <f t="shared" si="62"/>
        <v>0</v>
      </c>
      <c r="U85" s="114">
        <f t="shared" si="63"/>
        <v>51.140667723774897</v>
      </c>
      <c r="V85" s="114">
        <f t="shared" si="64"/>
        <v>715.96934813284861</v>
      </c>
      <c r="W85" s="114">
        <f t="shared" si="65"/>
        <v>4.7693481328486769</v>
      </c>
      <c r="X85" s="209">
        <f t="shared" si="30"/>
        <v>1.0835776720341528E-13</v>
      </c>
    </row>
    <row r="86" spans="1:31" s="130" customFormat="1">
      <c r="A86" s="217"/>
      <c r="B86" s="153">
        <v>29</v>
      </c>
      <c r="C86" s="130" t="s">
        <v>587</v>
      </c>
      <c r="D86" s="101">
        <f>+'Company Regulated Cust Count'!AC120</f>
        <v>19.592335610923339</v>
      </c>
      <c r="E86" s="155">
        <f>+References!B13</f>
        <v>1</v>
      </c>
      <c r="F86" s="101">
        <f t="shared" si="29"/>
        <v>235.10802733108005</v>
      </c>
      <c r="G86" s="101">
        <f>+References!B35</f>
        <v>613</v>
      </c>
      <c r="H86" s="101">
        <f t="shared" si="55"/>
        <v>144121.22075395208</v>
      </c>
      <c r="I86" s="101">
        <f t="shared" si="16"/>
        <v>133071.05226666396</v>
      </c>
      <c r="J86" s="115">
        <f>+I86*References!$C$55</f>
        <v>101.79935498399817</v>
      </c>
      <c r="K86" s="115">
        <f>+J86/References!$G$58</f>
        <v>103.80010194906643</v>
      </c>
      <c r="L86" s="115">
        <f t="shared" si="56"/>
        <v>0.44149960819030104</v>
      </c>
      <c r="M86" s="115">
        <f>+'Proposed Rates'!B69</f>
        <v>95.82</v>
      </c>
      <c r="N86" s="115">
        <f t="shared" si="57"/>
        <v>96.261499608190292</v>
      </c>
      <c r="O86" s="115">
        <f>+'Proposed Rates'!D69</f>
        <v>96.261499608190292</v>
      </c>
      <c r="P86" s="115">
        <f t="shared" si="58"/>
        <v>22528.051178864091</v>
      </c>
      <c r="Q86" s="115">
        <f t="shared" si="59"/>
        <v>22631.851280813156</v>
      </c>
      <c r="R86" s="115">
        <f t="shared" si="60"/>
        <v>103.80010194906572</v>
      </c>
      <c r="S86" s="115">
        <f t="shared" si="61"/>
        <v>22631.851280813156</v>
      </c>
      <c r="T86" s="115">
        <f t="shared" si="62"/>
        <v>0</v>
      </c>
      <c r="U86" s="114">
        <f t="shared" si="63"/>
        <v>96.261499608190292</v>
      </c>
      <c r="V86" s="114">
        <f t="shared" si="64"/>
        <v>22631.851280813156</v>
      </c>
      <c r="W86" s="114">
        <f t="shared" si="65"/>
        <v>103.80010194906572</v>
      </c>
      <c r="X86" s="209">
        <f t="shared" si="30"/>
        <v>-7.1054273576010019E-13</v>
      </c>
      <c r="AA86" s="112"/>
      <c r="AB86" s="112"/>
      <c r="AC86" s="112"/>
      <c r="AD86" s="112"/>
      <c r="AE86" s="112"/>
    </row>
    <row r="87" spans="1:31">
      <c r="A87" s="217"/>
      <c r="B87" s="153">
        <v>29</v>
      </c>
      <c r="C87" s="100" t="s">
        <v>381</v>
      </c>
      <c r="D87" s="101">
        <f>+'Company Regulated Cust Count'!AC120</f>
        <v>19.592335610923339</v>
      </c>
      <c r="E87" s="113">
        <f>+References!B11</f>
        <v>4.333333333333333</v>
      </c>
      <c r="F87" s="101">
        <f>+D87*E87*12-F86</f>
        <v>783.69342443693347</v>
      </c>
      <c r="G87" s="101">
        <f>+References!B35</f>
        <v>613</v>
      </c>
      <c r="H87" s="101">
        <f t="shared" si="55"/>
        <v>480404.06917984021</v>
      </c>
      <c r="I87" s="101">
        <f t="shared" si="16"/>
        <v>443570.17422221316</v>
      </c>
      <c r="J87" s="115">
        <f>+I87*References!$C$55</f>
        <v>339.33118327999387</v>
      </c>
      <c r="K87" s="115">
        <f>+J87/References!$G$58</f>
        <v>346.00033983022138</v>
      </c>
      <c r="L87" s="115">
        <f t="shared" si="56"/>
        <v>0.44149960819030099</v>
      </c>
      <c r="M87" s="115">
        <f>+'Proposed Rates'!B77</f>
        <v>63.48</v>
      </c>
      <c r="N87" s="115">
        <f t="shared" si="57"/>
        <v>63.921499608190295</v>
      </c>
      <c r="O87" s="115">
        <f>+'Proposed Rates'!D77</f>
        <v>63.921499608190295</v>
      </c>
      <c r="P87" s="115">
        <f t="shared" si="58"/>
        <v>49748.858583256537</v>
      </c>
      <c r="Q87" s="115">
        <f t="shared" si="59"/>
        <v>50094.858923086751</v>
      </c>
      <c r="R87" s="115">
        <f t="shared" si="60"/>
        <v>346.00033983021422</v>
      </c>
      <c r="S87" s="115">
        <f t="shared" si="61"/>
        <v>50094.858923086751</v>
      </c>
      <c r="T87" s="115">
        <f t="shared" si="62"/>
        <v>0</v>
      </c>
      <c r="U87" s="114">
        <f t="shared" si="63"/>
        <v>63.921499608190295</v>
      </c>
      <c r="V87" s="114">
        <f t="shared" si="64"/>
        <v>50094.858923086751</v>
      </c>
      <c r="W87" s="114">
        <f t="shared" si="65"/>
        <v>346.00033983021422</v>
      </c>
      <c r="X87" s="209">
        <f t="shared" si="30"/>
        <v>-7.1622707764618099E-12</v>
      </c>
    </row>
    <row r="88" spans="1:31" s="130" customFormat="1">
      <c r="A88" s="217"/>
      <c r="B88" s="153">
        <v>29</v>
      </c>
      <c r="C88" s="130" t="s">
        <v>588</v>
      </c>
      <c r="D88" s="101">
        <f>+'Company Regulated Cust Count'!AC121</f>
        <v>1.3645836943087177</v>
      </c>
      <c r="E88" s="155">
        <f>+References!B13</f>
        <v>1</v>
      </c>
      <c r="F88" s="101">
        <f t="shared" si="29"/>
        <v>16.375004331704613</v>
      </c>
      <c r="G88" s="101">
        <f>+References!B35</f>
        <v>613</v>
      </c>
      <c r="H88" s="101">
        <f t="shared" si="55"/>
        <v>10037.877655334927</v>
      </c>
      <c r="I88" s="101">
        <f t="shared" si="16"/>
        <v>9268.2460995794991</v>
      </c>
      <c r="J88" s="115">
        <f>+I88*References!$C$55</f>
        <v>7.0902082661783332</v>
      </c>
      <c r="K88" s="115">
        <f>+J88/References!$G$58</f>
        <v>7.2295579965620673</v>
      </c>
      <c r="L88" s="115">
        <f t="shared" si="56"/>
        <v>0.44149960819030093</v>
      </c>
      <c r="M88" s="115">
        <f>+'Proposed Rates'!B69</f>
        <v>95.82</v>
      </c>
      <c r="N88" s="115">
        <f t="shared" si="57"/>
        <v>96.261499608190292</v>
      </c>
      <c r="O88" s="115">
        <f>+'Proposed Rates'!D69</f>
        <v>96.261499608190292</v>
      </c>
      <c r="P88" s="115">
        <f t="shared" si="58"/>
        <v>1569.0529150639359</v>
      </c>
      <c r="Q88" s="115">
        <f t="shared" si="59"/>
        <v>1576.282473060498</v>
      </c>
      <c r="R88" s="115">
        <f t="shared" si="60"/>
        <v>7.2295579965621073</v>
      </c>
      <c r="S88" s="115">
        <f t="shared" si="61"/>
        <v>1576.282473060498</v>
      </c>
      <c r="T88" s="115">
        <f t="shared" si="62"/>
        <v>0</v>
      </c>
      <c r="U88" s="114">
        <f t="shared" si="63"/>
        <v>96.261499608190292</v>
      </c>
      <c r="V88" s="114">
        <f t="shared" si="64"/>
        <v>1576.282473060498</v>
      </c>
      <c r="W88" s="114">
        <f t="shared" si="65"/>
        <v>7.2295579965621073</v>
      </c>
      <c r="X88" s="209">
        <f t="shared" si="30"/>
        <v>3.9968028886505635E-14</v>
      </c>
      <c r="AA88" s="112"/>
      <c r="AB88" s="112"/>
      <c r="AC88" s="112"/>
      <c r="AD88" s="112"/>
      <c r="AE88" s="112"/>
    </row>
    <row r="89" spans="1:31">
      <c r="A89" s="217"/>
      <c r="B89" s="153">
        <v>29</v>
      </c>
      <c r="C89" s="100" t="s">
        <v>383</v>
      </c>
      <c r="D89" s="101">
        <f>+'Company Regulated Cust Count'!AC121</f>
        <v>1.3645836943087177</v>
      </c>
      <c r="E89" s="113">
        <f>+References!B10</f>
        <v>8.6666666666666661</v>
      </c>
      <c r="F89" s="101">
        <f>+D89*E89*12-F88</f>
        <v>125.54169987640202</v>
      </c>
      <c r="G89" s="101">
        <f>+References!B35</f>
        <v>613</v>
      </c>
      <c r="H89" s="101">
        <f t="shared" si="55"/>
        <v>76957.062024234445</v>
      </c>
      <c r="I89" s="101">
        <f t="shared" si="16"/>
        <v>71056.553430109503</v>
      </c>
      <c r="J89" s="115">
        <f>+I89*References!$C$55</f>
        <v>54.358263374033896</v>
      </c>
      <c r="K89" s="115">
        <f>+J89/References!$G$58</f>
        <v>55.426611306975857</v>
      </c>
      <c r="L89" s="115">
        <f t="shared" si="56"/>
        <v>0.44149960819030104</v>
      </c>
      <c r="M89" s="115">
        <f>+'Proposed Rates'!B77</f>
        <v>63.48</v>
      </c>
      <c r="N89" s="115">
        <f t="shared" si="57"/>
        <v>63.921499608190295</v>
      </c>
      <c r="O89" s="115">
        <f>+'Proposed Rates'!D77</f>
        <v>63.921499608190295</v>
      </c>
      <c r="P89" s="115">
        <f t="shared" si="58"/>
        <v>7969.3871081540001</v>
      </c>
      <c r="Q89" s="115">
        <f t="shared" si="59"/>
        <v>8024.8137194609753</v>
      </c>
      <c r="R89" s="115">
        <f t="shared" si="60"/>
        <v>55.426611306975246</v>
      </c>
      <c r="S89" s="115">
        <f t="shared" si="61"/>
        <v>8024.8137194609753</v>
      </c>
      <c r="T89" s="115">
        <f t="shared" si="62"/>
        <v>0</v>
      </c>
      <c r="U89" s="114">
        <f t="shared" si="63"/>
        <v>63.921499608190295</v>
      </c>
      <c r="V89" s="114">
        <f t="shared" si="64"/>
        <v>8024.8137194609753</v>
      </c>
      <c r="W89" s="114">
        <f t="shared" si="65"/>
        <v>55.426611306975246</v>
      </c>
      <c r="X89" s="209">
        <f t="shared" si="30"/>
        <v>-6.1106675275368616E-13</v>
      </c>
    </row>
    <row r="90" spans="1:31" s="130" customFormat="1">
      <c r="A90" s="217"/>
      <c r="B90" s="153">
        <v>29</v>
      </c>
      <c r="C90" s="130" t="s">
        <v>589</v>
      </c>
      <c r="D90" s="101">
        <f>+'Company Regulated Cust Count'!AC122</f>
        <v>7.375002467673478</v>
      </c>
      <c r="E90" s="155">
        <f>+References!B13</f>
        <v>1</v>
      </c>
      <c r="F90" s="101">
        <f t="shared" si="29"/>
        <v>88.500029612081732</v>
      </c>
      <c r="G90" s="101">
        <f>+References!B35</f>
        <v>613</v>
      </c>
      <c r="H90" s="101">
        <f t="shared" si="55"/>
        <v>54250.518152206103</v>
      </c>
      <c r="I90" s="101">
        <f t="shared" si="16"/>
        <v>50090.982429649288</v>
      </c>
      <c r="J90" s="115">
        <f>+I90*References!$C$55</f>
        <v>38.319601558681796</v>
      </c>
      <c r="K90" s="115">
        <f>+J90/References!$G$58</f>
        <v>39.072728398564124</v>
      </c>
      <c r="L90" s="115">
        <f t="shared" si="56"/>
        <v>0.44149960819030104</v>
      </c>
      <c r="M90" s="115">
        <f>+'Proposed Rates'!B69</f>
        <v>95.82</v>
      </c>
      <c r="N90" s="115">
        <f t="shared" si="57"/>
        <v>96.261499608190292</v>
      </c>
      <c r="O90" s="115">
        <f>+'Proposed Rates'!D69</f>
        <v>96.261499608190292</v>
      </c>
      <c r="P90" s="115">
        <f t="shared" si="58"/>
        <v>8480.0728374296705</v>
      </c>
      <c r="Q90" s="115">
        <f t="shared" si="59"/>
        <v>8519.1455658282357</v>
      </c>
      <c r="R90" s="115">
        <f t="shared" si="60"/>
        <v>39.072728398565232</v>
      </c>
      <c r="S90" s="115">
        <f t="shared" si="61"/>
        <v>8519.1455658282357</v>
      </c>
      <c r="T90" s="115">
        <f t="shared" si="62"/>
        <v>0</v>
      </c>
      <c r="U90" s="114">
        <f t="shared" si="63"/>
        <v>96.261499608190292</v>
      </c>
      <c r="V90" s="114">
        <f t="shared" si="64"/>
        <v>8519.1455658282357</v>
      </c>
      <c r="W90" s="114">
        <f t="shared" si="65"/>
        <v>39.072728398565232</v>
      </c>
      <c r="X90" s="209">
        <f t="shared" si="30"/>
        <v>1.1084466677857563E-12</v>
      </c>
      <c r="AA90" s="112"/>
      <c r="AB90" s="112"/>
      <c r="AC90" s="112"/>
      <c r="AD90" s="112"/>
      <c r="AE90" s="112"/>
    </row>
    <row r="91" spans="1:31">
      <c r="A91" s="217"/>
      <c r="B91" s="153">
        <v>29</v>
      </c>
      <c r="C91" s="100" t="s">
        <v>385</v>
      </c>
      <c r="D91" s="101">
        <f>+'Company Regulated Cust Count'!AC122</f>
        <v>7.375002467673478</v>
      </c>
      <c r="E91" s="113">
        <f>+References!B12</f>
        <v>2.1666666666666665</v>
      </c>
      <c r="F91" s="101">
        <f>+D91*E91*12-F90</f>
        <v>103.2500345474287</v>
      </c>
      <c r="G91" s="101">
        <f>+References!B35</f>
        <v>613</v>
      </c>
      <c r="H91" s="101">
        <f t="shared" si="55"/>
        <v>63292.271177573792</v>
      </c>
      <c r="I91" s="101">
        <f t="shared" si="16"/>
        <v>58439.479501257505</v>
      </c>
      <c r="J91" s="115">
        <f>+I91*References!$C$55</f>
        <v>44.706201818462098</v>
      </c>
      <c r="K91" s="115">
        <f>+J91/References!$G$58</f>
        <v>45.584849798324811</v>
      </c>
      <c r="L91" s="115">
        <f t="shared" si="56"/>
        <v>0.44149960819030099</v>
      </c>
      <c r="M91" s="115">
        <f>+'Proposed Rates'!B77</f>
        <v>63.48</v>
      </c>
      <c r="N91" s="115">
        <f t="shared" si="57"/>
        <v>63.921499608190295</v>
      </c>
      <c r="O91" s="115">
        <f>+'Proposed Rates'!D77</f>
        <v>63.921499608190295</v>
      </c>
      <c r="P91" s="115">
        <f t="shared" si="58"/>
        <v>6554.312193070773</v>
      </c>
      <c r="Q91" s="115">
        <f t="shared" si="59"/>
        <v>6599.8970428690982</v>
      </c>
      <c r="R91" s="115">
        <f t="shared" si="60"/>
        <v>45.584849798325195</v>
      </c>
      <c r="S91" s="115">
        <f t="shared" si="61"/>
        <v>6599.8970428690982</v>
      </c>
      <c r="T91" s="115">
        <f t="shared" si="62"/>
        <v>0</v>
      </c>
      <c r="U91" s="114">
        <f t="shared" si="63"/>
        <v>63.921499608190295</v>
      </c>
      <c r="V91" s="114">
        <f t="shared" si="64"/>
        <v>6599.8970428690982</v>
      </c>
      <c r="W91" s="114">
        <f t="shared" si="65"/>
        <v>45.584849798325195</v>
      </c>
      <c r="X91" s="209">
        <f t="shared" si="30"/>
        <v>3.836930773104541E-13</v>
      </c>
    </row>
    <row r="92" spans="1:31" s="130" customFormat="1">
      <c r="A92" s="217"/>
      <c r="B92" s="153">
        <v>29</v>
      </c>
      <c r="C92" s="130" t="s">
        <v>590</v>
      </c>
      <c r="D92" s="101">
        <f>+'Company Regulated Cust Count'!AC123</f>
        <v>9.0208380486774402</v>
      </c>
      <c r="E92" s="155">
        <f>+References!B13</f>
        <v>1</v>
      </c>
      <c r="F92" s="101">
        <f t="shared" si="29"/>
        <v>108.25005658412928</v>
      </c>
      <c r="G92" s="101">
        <f>+References!B36</f>
        <v>840</v>
      </c>
      <c r="H92" s="101">
        <f t="shared" si="55"/>
        <v>90930.047530668598</v>
      </c>
      <c r="I92" s="101">
        <f t="shared" si="16"/>
        <v>83958.1918905723</v>
      </c>
      <c r="J92" s="115">
        <f>+I92*References!$C$55</f>
        <v>64.22801679628796</v>
      </c>
      <c r="K92" s="115">
        <f>+J92/References!$G$58</f>
        <v>65.490343160710665</v>
      </c>
      <c r="L92" s="115">
        <f t="shared" si="56"/>
        <v>0.60499130649241906</v>
      </c>
      <c r="M92" s="115">
        <f>+'Proposed Rates'!B70</f>
        <v>147.44999999999999</v>
      </c>
      <c r="N92" s="115">
        <f t="shared" si="57"/>
        <v>148.05499130649241</v>
      </c>
      <c r="O92" s="115">
        <f>+'Proposed Rates'!D70</f>
        <v>148.05499130649241</v>
      </c>
      <c r="P92" s="115">
        <f t="shared" si="58"/>
        <v>15961.470843329862</v>
      </c>
      <c r="Q92" s="115">
        <f t="shared" si="59"/>
        <v>16026.961186490573</v>
      </c>
      <c r="R92" s="115">
        <f t="shared" si="60"/>
        <v>65.490343160710836</v>
      </c>
      <c r="S92" s="115">
        <f t="shared" si="61"/>
        <v>16026.961186490573</v>
      </c>
      <c r="T92" s="115">
        <f t="shared" si="62"/>
        <v>0</v>
      </c>
      <c r="U92" s="114">
        <f t="shared" si="63"/>
        <v>148.05499130649241</v>
      </c>
      <c r="V92" s="114">
        <f t="shared" si="64"/>
        <v>16026.961186490573</v>
      </c>
      <c r="W92" s="114">
        <f t="shared" si="65"/>
        <v>65.490343160710836</v>
      </c>
      <c r="X92" s="209">
        <f t="shared" si="30"/>
        <v>1.7053025658242404E-13</v>
      </c>
      <c r="AA92" s="112"/>
      <c r="AB92" s="112"/>
      <c r="AC92" s="112"/>
      <c r="AD92" s="112"/>
      <c r="AE92" s="112"/>
    </row>
    <row r="93" spans="1:31">
      <c r="A93" s="217"/>
      <c r="B93" s="153">
        <v>29</v>
      </c>
      <c r="C93" s="100" t="s">
        <v>387</v>
      </c>
      <c r="D93" s="101">
        <f>+'Company Regulated Cust Count'!AC123</f>
        <v>9.0208380486774402</v>
      </c>
      <c r="E93" s="113">
        <f>+References!B11</f>
        <v>4.333333333333333</v>
      </c>
      <c r="F93" s="101">
        <f>+D93*E93*12-F92</f>
        <v>360.83352194709755</v>
      </c>
      <c r="G93" s="101">
        <f>+References!B36</f>
        <v>840</v>
      </c>
      <c r="H93" s="101">
        <f t="shared" si="55"/>
        <v>303100.15843556193</v>
      </c>
      <c r="I93" s="101">
        <f t="shared" ref="I93:I124" si="66">+H93*$D$165</f>
        <v>279860.63963524089</v>
      </c>
      <c r="J93" s="115">
        <f>+I93*References!$C$55</f>
        <v>214.09338932095977</v>
      </c>
      <c r="K93" s="115">
        <f>+J93/References!$G$58</f>
        <v>218.30114386903543</v>
      </c>
      <c r="L93" s="115">
        <f t="shared" si="56"/>
        <v>0.60499130649241883</v>
      </c>
      <c r="M93" s="115">
        <f>+'Proposed Rates'!B78</f>
        <v>89.4</v>
      </c>
      <c r="N93" s="115">
        <f t="shared" si="57"/>
        <v>90.004991306492428</v>
      </c>
      <c r="O93" s="115">
        <f>+'Proposed Rates'!D78</f>
        <v>90.004991306492428</v>
      </c>
      <c r="P93" s="115">
        <f t="shared" si="58"/>
        <v>32258.516862070523</v>
      </c>
      <c r="Q93" s="115">
        <f t="shared" si="59"/>
        <v>32476.81800593956</v>
      </c>
      <c r="R93" s="115">
        <f t="shared" si="60"/>
        <v>218.30114386903733</v>
      </c>
      <c r="S93" s="115">
        <f t="shared" si="61"/>
        <v>32476.81800593956</v>
      </c>
      <c r="T93" s="115">
        <f t="shared" si="62"/>
        <v>0</v>
      </c>
      <c r="U93" s="114">
        <f t="shared" si="63"/>
        <v>90.004991306492428</v>
      </c>
      <c r="V93" s="114">
        <f t="shared" si="64"/>
        <v>32476.81800593956</v>
      </c>
      <c r="W93" s="114">
        <f t="shared" si="65"/>
        <v>218.30114386903733</v>
      </c>
      <c r="X93" s="209">
        <f t="shared" si="30"/>
        <v>1.9042545318370685E-12</v>
      </c>
    </row>
    <row r="94" spans="1:31" s="130" customFormat="1">
      <c r="A94" s="217"/>
      <c r="B94" s="153">
        <v>29</v>
      </c>
      <c r="C94" s="130" t="s">
        <v>591</v>
      </c>
      <c r="D94" s="101">
        <f>+'Company Regulated Cust Count'!AC124</f>
        <v>2.0937506340522005</v>
      </c>
      <c r="E94" s="155">
        <f>+References!B13</f>
        <v>1</v>
      </c>
      <c r="F94" s="101">
        <f t="shared" si="29"/>
        <v>25.125007608626404</v>
      </c>
      <c r="G94" s="101">
        <f>+References!B36</f>
        <v>840</v>
      </c>
      <c r="H94" s="101">
        <f t="shared" si="55"/>
        <v>21105.006391246181</v>
      </c>
      <c r="I94" s="101">
        <f t="shared" si="66"/>
        <v>19486.827782096647</v>
      </c>
      <c r="J94" s="115">
        <f>+I94*References!$C$55</f>
        <v>14.907423253303969</v>
      </c>
      <c r="K94" s="115">
        <f>+J94/References!$G$58</f>
        <v>15.200411178774855</v>
      </c>
      <c r="L94" s="115">
        <f t="shared" si="56"/>
        <v>0.60499130649241895</v>
      </c>
      <c r="M94" s="115">
        <f>+'Proposed Rates'!B70</f>
        <v>147.44999999999999</v>
      </c>
      <c r="N94" s="115">
        <f t="shared" si="57"/>
        <v>148.05499130649241</v>
      </c>
      <c r="O94" s="115">
        <f>+'Proposed Rates'!D70</f>
        <v>148.05499130649241</v>
      </c>
      <c r="P94" s="115">
        <f t="shared" si="58"/>
        <v>3704.6823718919632</v>
      </c>
      <c r="Q94" s="115">
        <f t="shared" si="59"/>
        <v>3719.8827830707378</v>
      </c>
      <c r="R94" s="115">
        <f t="shared" si="60"/>
        <v>15.20041117877463</v>
      </c>
      <c r="S94" s="115">
        <f t="shared" si="61"/>
        <v>3719.8827830707378</v>
      </c>
      <c r="T94" s="115">
        <f t="shared" si="62"/>
        <v>0</v>
      </c>
      <c r="U94" s="114">
        <f t="shared" si="63"/>
        <v>148.05499130649241</v>
      </c>
      <c r="V94" s="114">
        <f t="shared" si="64"/>
        <v>3719.8827830707378</v>
      </c>
      <c r="W94" s="114">
        <f t="shared" si="65"/>
        <v>15.20041117877463</v>
      </c>
      <c r="X94" s="209">
        <f t="shared" si="30"/>
        <v>-2.2559731860383181E-13</v>
      </c>
      <c r="AA94" s="112"/>
      <c r="AB94" s="112"/>
      <c r="AC94" s="112"/>
      <c r="AD94" s="112"/>
      <c r="AE94" s="112"/>
    </row>
    <row r="95" spans="1:31">
      <c r="A95" s="217"/>
      <c r="B95" s="153">
        <v>29</v>
      </c>
      <c r="C95" s="100" t="s">
        <v>389</v>
      </c>
      <c r="D95" s="101">
        <f>+'Company Regulated Cust Count'!AC124</f>
        <v>2.0937506340522005</v>
      </c>
      <c r="E95" s="113">
        <f>+References!B10</f>
        <v>8.6666666666666661</v>
      </c>
      <c r="F95" s="101">
        <f>+D95*E95*12-F94</f>
        <v>192.62505833280244</v>
      </c>
      <c r="G95" s="101">
        <f>+References!B36</f>
        <v>840</v>
      </c>
      <c r="H95" s="101">
        <f t="shared" si="55"/>
        <v>161805.04899955404</v>
      </c>
      <c r="I95" s="101">
        <f t="shared" si="66"/>
        <v>149399.01299607428</v>
      </c>
      <c r="J95" s="115">
        <f>+I95*References!$C$55</f>
        <v>114.29024494199709</v>
      </c>
      <c r="K95" s="115">
        <f>+J95/References!$G$58</f>
        <v>116.53648570394054</v>
      </c>
      <c r="L95" s="115">
        <f t="shared" si="56"/>
        <v>0.60499130649241883</v>
      </c>
      <c r="M95" s="115">
        <f>+'Proposed Rates'!B78</f>
        <v>89.4</v>
      </c>
      <c r="N95" s="115">
        <f t="shared" si="57"/>
        <v>90.004991306492428</v>
      </c>
      <c r="O95" s="115">
        <f>+'Proposed Rates'!D78</f>
        <v>90.004991306492428</v>
      </c>
      <c r="P95" s="115">
        <f t="shared" si="58"/>
        <v>17220.680214952539</v>
      </c>
      <c r="Q95" s="115">
        <f t="shared" si="59"/>
        <v>17337.216700656481</v>
      </c>
      <c r="R95" s="115">
        <f t="shared" si="60"/>
        <v>116.53648570394216</v>
      </c>
      <c r="S95" s="115">
        <f t="shared" si="61"/>
        <v>17337.216700656481</v>
      </c>
      <c r="T95" s="115">
        <f t="shared" si="62"/>
        <v>0</v>
      </c>
      <c r="U95" s="114">
        <f t="shared" si="63"/>
        <v>90.004991306492428</v>
      </c>
      <c r="V95" s="114">
        <f t="shared" si="64"/>
        <v>17337.216700656481</v>
      </c>
      <c r="W95" s="114">
        <f t="shared" si="65"/>
        <v>116.53648570394216</v>
      </c>
      <c r="X95" s="209">
        <f t="shared" si="30"/>
        <v>1.6200374375330284E-12</v>
      </c>
    </row>
    <row r="96" spans="1:31" s="130" customFormat="1">
      <c r="A96" s="217"/>
      <c r="B96" s="153">
        <v>29</v>
      </c>
      <c r="C96" s="130" t="s">
        <v>592</v>
      </c>
      <c r="D96" s="101">
        <f>+'Company Regulated Cust Count'!AC125</f>
        <v>5.437508457707743</v>
      </c>
      <c r="E96" s="155">
        <f>+References!B13</f>
        <v>1</v>
      </c>
      <c r="F96" s="101">
        <f t="shared" si="29"/>
        <v>65.250101492492917</v>
      </c>
      <c r="G96" s="101">
        <f>+References!B36</f>
        <v>840</v>
      </c>
      <c r="H96" s="101">
        <f t="shared" si="55"/>
        <v>54810.085253694051</v>
      </c>
      <c r="I96" s="101">
        <f t="shared" si="66"/>
        <v>50607.645989805584</v>
      </c>
      <c r="J96" s="115">
        <f>+I96*References!$C$55</f>
        <v>38.714849182201363</v>
      </c>
      <c r="K96" s="115">
        <f>+J96/References!$G$58</f>
        <v>39.475744150706227</v>
      </c>
      <c r="L96" s="115">
        <f t="shared" si="56"/>
        <v>0.60499130649241895</v>
      </c>
      <c r="M96" s="115">
        <f>+'Proposed Rates'!B70</f>
        <v>147.44999999999999</v>
      </c>
      <c r="N96" s="115">
        <f t="shared" si="57"/>
        <v>148.05499130649241</v>
      </c>
      <c r="O96" s="115">
        <f>+'Proposed Rates'!D70</f>
        <v>148.05499130649241</v>
      </c>
      <c r="P96" s="115">
        <f t="shared" si="58"/>
        <v>9621.1274650680807</v>
      </c>
      <c r="Q96" s="115">
        <f t="shared" si="59"/>
        <v>9660.603209218787</v>
      </c>
      <c r="R96" s="115">
        <f t="shared" si="60"/>
        <v>39.475744150706305</v>
      </c>
      <c r="S96" s="115">
        <f t="shared" si="61"/>
        <v>9660.603209218787</v>
      </c>
      <c r="T96" s="115">
        <f t="shared" si="62"/>
        <v>0</v>
      </c>
      <c r="U96" s="114">
        <f t="shared" si="63"/>
        <v>148.05499130649241</v>
      </c>
      <c r="V96" s="114">
        <f t="shared" si="64"/>
        <v>9660.603209218787</v>
      </c>
      <c r="W96" s="114">
        <f t="shared" si="65"/>
        <v>39.475744150706305</v>
      </c>
      <c r="X96" s="209">
        <f t="shared" si="30"/>
        <v>7.815970093361102E-14</v>
      </c>
      <c r="AA96" s="112"/>
      <c r="AB96" s="112"/>
      <c r="AC96" s="112"/>
      <c r="AD96" s="112"/>
      <c r="AE96" s="112"/>
    </row>
    <row r="97" spans="1:31">
      <c r="A97" s="217"/>
      <c r="B97" s="153">
        <v>29</v>
      </c>
      <c r="C97" s="100" t="s">
        <v>391</v>
      </c>
      <c r="D97" s="101">
        <f>+'Company Regulated Cust Count'!AC125</f>
        <v>5.437508457707743</v>
      </c>
      <c r="E97" s="113">
        <f>+References!B12</f>
        <v>2.1666666666666665</v>
      </c>
      <c r="F97" s="101">
        <f>+D97*E97*12-F96</f>
        <v>76.125118407908388</v>
      </c>
      <c r="G97" s="101">
        <f>+References!B36</f>
        <v>840</v>
      </c>
      <c r="H97" s="101">
        <f t="shared" si="55"/>
        <v>63945.099462643047</v>
      </c>
      <c r="I97" s="101">
        <f t="shared" si="66"/>
        <v>59042.253654773172</v>
      </c>
      <c r="J97" s="115">
        <f>+I97*References!$C$55</f>
        <v>45.16732404590158</v>
      </c>
      <c r="K97" s="115">
        <f>+J97/References!$G$58</f>
        <v>46.055034842490585</v>
      </c>
      <c r="L97" s="115">
        <f t="shared" si="56"/>
        <v>0.60499130649241895</v>
      </c>
      <c r="M97" s="115">
        <f>+'Proposed Rates'!B78</f>
        <v>89.4</v>
      </c>
      <c r="N97" s="115">
        <f t="shared" si="57"/>
        <v>90.004991306492428</v>
      </c>
      <c r="O97" s="115">
        <f>+'Proposed Rates'!D78</f>
        <v>90.004991306492428</v>
      </c>
      <c r="P97" s="115">
        <f t="shared" si="58"/>
        <v>6805.5855856670105</v>
      </c>
      <c r="Q97" s="115">
        <f t="shared" si="59"/>
        <v>6851.6406205095009</v>
      </c>
      <c r="R97" s="115">
        <f t="shared" si="60"/>
        <v>46.055034842490386</v>
      </c>
      <c r="S97" s="115">
        <f t="shared" si="61"/>
        <v>6851.6406205095009</v>
      </c>
      <c r="T97" s="115">
        <f t="shared" si="62"/>
        <v>0</v>
      </c>
      <c r="U97" s="114">
        <f t="shared" si="63"/>
        <v>90.004991306492428</v>
      </c>
      <c r="V97" s="114">
        <f t="shared" si="64"/>
        <v>6851.6406205095009</v>
      </c>
      <c r="W97" s="114">
        <f t="shared" si="65"/>
        <v>46.055034842490386</v>
      </c>
      <c r="X97" s="209">
        <f t="shared" si="30"/>
        <v>-1.9895196601282805E-13</v>
      </c>
    </row>
    <row r="98" spans="1:31" s="130" customFormat="1">
      <c r="A98" s="217"/>
      <c r="B98" s="153">
        <v>29</v>
      </c>
      <c r="C98" s="130" t="s">
        <v>593</v>
      </c>
      <c r="D98" s="101">
        <f>+'Company Regulated Cust Count'!AC126</f>
        <v>4.8958341038823336</v>
      </c>
      <c r="E98" s="155">
        <f>+References!B13</f>
        <v>1</v>
      </c>
      <c r="F98" s="101">
        <f t="shared" si="29"/>
        <v>58.750009246588007</v>
      </c>
      <c r="G98" s="101">
        <f>+References!B37</f>
        <v>980</v>
      </c>
      <c r="H98" s="101">
        <f t="shared" si="55"/>
        <v>57575.009061656245</v>
      </c>
      <c r="I98" s="101">
        <f t="shared" si="66"/>
        <v>53160.575521195162</v>
      </c>
      <c r="J98" s="115">
        <f>+I98*References!$C$55</f>
        <v>40.667840273714397</v>
      </c>
      <c r="K98" s="115">
        <f>+J98/References!$G$58</f>
        <v>41.467118992290807</v>
      </c>
      <c r="L98" s="115">
        <f t="shared" si="56"/>
        <v>0.7058231909078222</v>
      </c>
      <c r="M98" s="115">
        <f>+'Proposed Rates'!B71</f>
        <v>178.37</v>
      </c>
      <c r="N98" s="115">
        <f t="shared" si="57"/>
        <v>179.07582319090784</v>
      </c>
      <c r="O98" s="115">
        <f>+'Proposed Rates'!D71</f>
        <v>179.07582319090784</v>
      </c>
      <c r="P98" s="115">
        <f t="shared" si="58"/>
        <v>10479.239149313904</v>
      </c>
      <c r="Q98" s="115">
        <f t="shared" si="59"/>
        <v>10520.706268306194</v>
      </c>
      <c r="R98" s="115">
        <f t="shared" si="60"/>
        <v>41.467118992290125</v>
      </c>
      <c r="S98" s="115">
        <f t="shared" si="61"/>
        <v>10520.706268306194</v>
      </c>
      <c r="T98" s="115">
        <f t="shared" si="62"/>
        <v>0</v>
      </c>
      <c r="U98" s="114">
        <f t="shared" si="63"/>
        <v>179.07582319090784</v>
      </c>
      <c r="V98" s="114">
        <f t="shared" si="64"/>
        <v>10520.706268306194</v>
      </c>
      <c r="W98" s="114">
        <f t="shared" si="65"/>
        <v>41.467118992290125</v>
      </c>
      <c r="X98" s="209">
        <f t="shared" si="30"/>
        <v>-6.8212102632969618E-13</v>
      </c>
      <c r="AA98" s="112"/>
      <c r="AB98" s="112"/>
      <c r="AC98" s="112"/>
      <c r="AD98" s="112"/>
      <c r="AE98" s="112"/>
    </row>
    <row r="99" spans="1:31">
      <c r="A99" s="217"/>
      <c r="B99" s="153">
        <v>29</v>
      </c>
      <c r="C99" s="100" t="s">
        <v>393</v>
      </c>
      <c r="D99" s="101">
        <f>+'Company Regulated Cust Count'!AC126</f>
        <v>4.8958341038823336</v>
      </c>
      <c r="E99" s="113">
        <f>+References!B11</f>
        <v>4.333333333333333</v>
      </c>
      <c r="F99" s="101">
        <f>+D99*E99*12-F98</f>
        <v>195.83336415529331</v>
      </c>
      <c r="G99" s="101">
        <f>+References!B37</f>
        <v>980</v>
      </c>
      <c r="H99" s="101">
        <f t="shared" si="55"/>
        <v>191916.69687218746</v>
      </c>
      <c r="I99" s="101">
        <f t="shared" si="66"/>
        <v>177201.91840398384</v>
      </c>
      <c r="J99" s="115">
        <f>+I99*References!$C$55</f>
        <v>135.55946757904795</v>
      </c>
      <c r="K99" s="115">
        <f>+J99/References!$G$58</f>
        <v>138.22372997430264</v>
      </c>
      <c r="L99" s="115">
        <f t="shared" si="56"/>
        <v>0.70582319090782208</v>
      </c>
      <c r="M99" s="115">
        <f>+'Proposed Rates'!B79</f>
        <v>109.99</v>
      </c>
      <c r="N99" s="115">
        <f t="shared" si="57"/>
        <v>110.69582319090782</v>
      </c>
      <c r="O99" s="115">
        <f>+'Proposed Rates'!D79</f>
        <v>110.69582319090782</v>
      </c>
      <c r="P99" s="115">
        <f t="shared" si="58"/>
        <v>21539.711723440709</v>
      </c>
      <c r="Q99" s="115">
        <f t="shared" si="59"/>
        <v>21677.935453415012</v>
      </c>
      <c r="R99" s="115">
        <f t="shared" si="60"/>
        <v>138.22372997430284</v>
      </c>
      <c r="S99" s="115">
        <f t="shared" si="61"/>
        <v>21677.935453415012</v>
      </c>
      <c r="T99" s="115">
        <f t="shared" si="62"/>
        <v>0</v>
      </c>
      <c r="U99" s="114">
        <f t="shared" si="63"/>
        <v>110.69582319090782</v>
      </c>
      <c r="V99" s="114">
        <f t="shared" si="64"/>
        <v>21677.935453415012</v>
      </c>
      <c r="W99" s="114">
        <f t="shared" si="65"/>
        <v>138.22372997430284</v>
      </c>
      <c r="X99" s="209">
        <f t="shared" si="30"/>
        <v>0</v>
      </c>
    </row>
    <row r="100" spans="1:31" s="130" customFormat="1">
      <c r="A100" s="217"/>
      <c r="B100" s="153">
        <v>29</v>
      </c>
      <c r="C100" s="130" t="s">
        <v>594</v>
      </c>
      <c r="D100" s="101">
        <f>+'Company Regulated Cust Count'!AC127</f>
        <v>1</v>
      </c>
      <c r="E100" s="155">
        <f>+References!B13</f>
        <v>1</v>
      </c>
      <c r="F100" s="101">
        <f t="shared" si="29"/>
        <v>12</v>
      </c>
      <c r="G100" s="101">
        <f>+References!B37</f>
        <v>980</v>
      </c>
      <c r="H100" s="101">
        <f t="shared" si="55"/>
        <v>11760</v>
      </c>
      <c r="I100" s="101">
        <f t="shared" si="66"/>
        <v>10858.328610244271</v>
      </c>
      <c r="J100" s="115">
        <f>+I100*References!$C$55</f>
        <v>8.3066213868368859</v>
      </c>
      <c r="K100" s="115">
        <f>+J100/References!$G$58</f>
        <v>8.469878290893865</v>
      </c>
      <c r="L100" s="115">
        <f t="shared" si="56"/>
        <v>0.70582319090782208</v>
      </c>
      <c r="M100" s="115">
        <f>+'Proposed Rates'!B71</f>
        <v>178.37</v>
      </c>
      <c r="N100" s="115">
        <f t="shared" si="57"/>
        <v>179.07582319090784</v>
      </c>
      <c r="O100" s="115">
        <f>+'Proposed Rates'!D71</f>
        <v>179.07582319090784</v>
      </c>
      <c r="P100" s="115">
        <f t="shared" si="58"/>
        <v>2140.44</v>
      </c>
      <c r="Q100" s="115">
        <f t="shared" si="59"/>
        <v>2148.9098782908941</v>
      </c>
      <c r="R100" s="115">
        <f t="shared" si="60"/>
        <v>8.4698782908940302</v>
      </c>
      <c r="S100" s="115">
        <f t="shared" si="61"/>
        <v>2148.9098782908941</v>
      </c>
      <c r="T100" s="115">
        <f t="shared" si="62"/>
        <v>0</v>
      </c>
      <c r="U100" s="114">
        <f t="shared" si="63"/>
        <v>179.07582319090784</v>
      </c>
      <c r="V100" s="114">
        <f t="shared" si="64"/>
        <v>2148.9098782908941</v>
      </c>
      <c r="W100" s="114">
        <f t="shared" si="65"/>
        <v>8.4698782908940302</v>
      </c>
      <c r="X100" s="209">
        <f t="shared" si="30"/>
        <v>1.6520118606422329E-13</v>
      </c>
      <c r="AA100" s="112"/>
      <c r="AB100" s="112"/>
      <c r="AC100" s="112"/>
      <c r="AD100" s="112"/>
      <c r="AE100" s="112"/>
    </row>
    <row r="101" spans="1:31">
      <c r="A101" s="217"/>
      <c r="B101" s="153">
        <v>29</v>
      </c>
      <c r="C101" s="100" t="s">
        <v>395</v>
      </c>
      <c r="D101" s="101">
        <f>+'Company Regulated Cust Count'!AC127</f>
        <v>1</v>
      </c>
      <c r="E101" s="113">
        <f>+References!B12</f>
        <v>2.1666666666666665</v>
      </c>
      <c r="F101" s="101">
        <f>+D101*E101*12-F100</f>
        <v>14</v>
      </c>
      <c r="G101" s="101">
        <f>+References!B37</f>
        <v>980</v>
      </c>
      <c r="H101" s="101">
        <f t="shared" si="55"/>
        <v>13720</v>
      </c>
      <c r="I101" s="101">
        <f t="shared" si="66"/>
        <v>12668.050045284981</v>
      </c>
      <c r="J101" s="115">
        <f>+I101*References!$C$55</f>
        <v>9.6910582846430326</v>
      </c>
      <c r="K101" s="115">
        <f>+J101/References!$G$58</f>
        <v>9.8815246727095083</v>
      </c>
      <c r="L101" s="115">
        <f t="shared" si="56"/>
        <v>0.70582319090782197</v>
      </c>
      <c r="M101" s="115">
        <f>+'Proposed Rates'!B79</f>
        <v>109.99</v>
      </c>
      <c r="N101" s="115">
        <f t="shared" si="57"/>
        <v>110.69582319090782</v>
      </c>
      <c r="O101" s="115">
        <f>+'Proposed Rates'!D79</f>
        <v>110.69582319090782</v>
      </c>
      <c r="P101" s="115">
        <f t="shared" si="58"/>
        <v>1539.86</v>
      </c>
      <c r="Q101" s="115">
        <f t="shared" si="59"/>
        <v>1549.7415246727094</v>
      </c>
      <c r="R101" s="115">
        <f t="shared" si="60"/>
        <v>9.8815246727094745</v>
      </c>
      <c r="S101" s="115">
        <f t="shared" si="61"/>
        <v>1549.7415246727094</v>
      </c>
      <c r="T101" s="115">
        <f t="shared" si="62"/>
        <v>0</v>
      </c>
      <c r="U101" s="114">
        <f t="shared" si="63"/>
        <v>110.69582319090782</v>
      </c>
      <c r="V101" s="114">
        <f t="shared" si="64"/>
        <v>1549.7415246727094</v>
      </c>
      <c r="W101" s="114">
        <f t="shared" si="65"/>
        <v>9.8815246727094745</v>
      </c>
      <c r="X101" s="209">
        <f t="shared" si="30"/>
        <v>-3.3750779948604759E-14</v>
      </c>
    </row>
    <row r="102" spans="1:31">
      <c r="A102" s="217"/>
      <c r="B102" s="153">
        <v>30</v>
      </c>
      <c r="C102" s="130" t="s">
        <v>397</v>
      </c>
      <c r="D102" s="101">
        <f>+'Company Regulated Cust Count'!AC128</f>
        <v>31.966882627703324</v>
      </c>
      <c r="E102" s="155">
        <f>+References!B11</f>
        <v>4.333333333333333</v>
      </c>
      <c r="F102" s="101">
        <f t="shared" si="29"/>
        <v>1662.2778966405726</v>
      </c>
      <c r="G102" s="101">
        <f>+References!B30</f>
        <v>29</v>
      </c>
      <c r="H102" s="101">
        <f>+F102*G102</f>
        <v>48206.059002576607</v>
      </c>
      <c r="I102" s="101">
        <f t="shared" si="66"/>
        <v>44509.968508061305</v>
      </c>
      <c r="J102" s="115">
        <f>+I102*References!$C$55</f>
        <v>34.050125908666978</v>
      </c>
      <c r="K102" s="115">
        <f>+J102/References!$G$58</f>
        <v>34.719341210499351</v>
      </c>
      <c r="L102" s="115">
        <f>+K102/F102*E102</f>
        <v>9.0508620058588063E-2</v>
      </c>
      <c r="M102" s="115">
        <f>+'Proposed Rates'!B101</f>
        <v>14.4</v>
      </c>
      <c r="N102" s="115">
        <f t="shared" si="20"/>
        <v>14.490508620058588</v>
      </c>
      <c r="O102" s="115">
        <f>+'Proposed Rates'!D101</f>
        <v>14.490508620058588</v>
      </c>
      <c r="P102" s="115">
        <f>+D102*M102*12</f>
        <v>5523.8773180671342</v>
      </c>
      <c r="Q102" s="115">
        <f>+D102*O102*12</f>
        <v>5558.596659277634</v>
      </c>
      <c r="R102" s="115">
        <f t="shared" si="23"/>
        <v>34.719341210499806</v>
      </c>
      <c r="S102" s="115">
        <f t="shared" ref="S102:S109" si="67">+D102*N102*12</f>
        <v>5558.596659277634</v>
      </c>
      <c r="T102" s="115">
        <f t="shared" si="25"/>
        <v>0</v>
      </c>
      <c r="U102" s="114">
        <f t="shared" si="26"/>
        <v>14.490508620058588</v>
      </c>
      <c r="V102" s="114">
        <f t="shared" ref="V102:V109" si="68">+D102*U102*12</f>
        <v>5558.596659277634</v>
      </c>
      <c r="W102" s="114">
        <f t="shared" si="28"/>
        <v>34.719341210499806</v>
      </c>
      <c r="X102" s="209">
        <f t="shared" si="30"/>
        <v>4.5474735088646412E-13</v>
      </c>
    </row>
    <row r="103" spans="1:31">
      <c r="A103" s="217"/>
      <c r="B103" s="153">
        <v>30</v>
      </c>
      <c r="C103" s="130" t="s">
        <v>399</v>
      </c>
      <c r="D103" s="101">
        <f>+'Company Regulated Cust Count'!AC129</f>
        <v>265.53843013762543</v>
      </c>
      <c r="E103" s="155">
        <f>+References!B11</f>
        <v>4.333333333333333</v>
      </c>
      <c r="F103" s="101">
        <f t="shared" si="29"/>
        <v>13807.998367156521</v>
      </c>
      <c r="G103" s="101">
        <f>+References!B30</f>
        <v>29</v>
      </c>
      <c r="H103" s="101">
        <f t="shared" si="18"/>
        <v>400431.95264753909</v>
      </c>
      <c r="I103" s="101">
        <f t="shared" si="66"/>
        <v>369729.73876605037</v>
      </c>
      <c r="J103" s="115">
        <f>+I103*References!$C$55</f>
        <v>282.84325015602917</v>
      </c>
      <c r="K103" s="115">
        <f>+J103/References!$G$58</f>
        <v>288.40220261136324</v>
      </c>
      <c r="L103" s="115">
        <f t="shared" ref="L103:L104" si="69">+K103/F103*E103</f>
        <v>9.0508620058588077E-2</v>
      </c>
      <c r="M103" s="115">
        <f>+'Proposed Rates'!B101</f>
        <v>14.4</v>
      </c>
      <c r="N103" s="115">
        <f t="shared" si="20"/>
        <v>14.490508620058588</v>
      </c>
      <c r="O103" s="115">
        <f>+'Proposed Rates'!D101</f>
        <v>14.490508620058588</v>
      </c>
      <c r="P103" s="115">
        <f t="shared" ref="P103:P109" si="70">+D103*M103*12</f>
        <v>45885.040727781678</v>
      </c>
      <c r="Q103" s="115">
        <f t="shared" ref="Q103:Q109" si="71">+D103*O103*12</f>
        <v>46173.442930393037</v>
      </c>
      <c r="R103" s="115">
        <f t="shared" si="23"/>
        <v>288.40220261135983</v>
      </c>
      <c r="S103" s="115">
        <f t="shared" si="67"/>
        <v>46173.442930393037</v>
      </c>
      <c r="T103" s="115">
        <f t="shared" si="25"/>
        <v>0</v>
      </c>
      <c r="U103" s="114">
        <f t="shared" si="26"/>
        <v>14.490508620058588</v>
      </c>
      <c r="V103" s="114">
        <f t="shared" si="68"/>
        <v>46173.442930393037</v>
      </c>
      <c r="W103" s="114">
        <f t="shared" si="28"/>
        <v>288.40220261135983</v>
      </c>
      <c r="X103" s="209">
        <f t="shared" si="30"/>
        <v>-3.4106051316484809E-12</v>
      </c>
    </row>
    <row r="104" spans="1:31">
      <c r="A104" s="217"/>
      <c r="B104" s="153">
        <v>30</v>
      </c>
      <c r="C104" s="130" t="s">
        <v>401</v>
      </c>
      <c r="D104" s="101">
        <f>+'Company Regulated Cust Count'!AC130</f>
        <v>1</v>
      </c>
      <c r="E104" s="155">
        <f>+References!B11</f>
        <v>4.333333333333333</v>
      </c>
      <c r="F104" s="101">
        <f t="shared" si="29"/>
        <v>52</v>
      </c>
      <c r="G104" s="101">
        <f>+References!B30</f>
        <v>29</v>
      </c>
      <c r="H104" s="101">
        <f t="shared" si="18"/>
        <v>1508</v>
      </c>
      <c r="I104" s="101">
        <f t="shared" si="66"/>
        <v>1392.377512266017</v>
      </c>
      <c r="J104" s="115">
        <f>+I104*References!$C$55</f>
        <v>1.0651687968835055</v>
      </c>
      <c r="K104" s="115">
        <f>+J104/References!$G$58</f>
        <v>1.086103440703057</v>
      </c>
      <c r="L104" s="115">
        <f t="shared" si="69"/>
        <v>9.0508620058588077E-2</v>
      </c>
      <c r="M104" s="115">
        <f>+'Proposed Rates'!B101</f>
        <v>14.4</v>
      </c>
      <c r="N104" s="115">
        <f t="shared" si="20"/>
        <v>14.490508620058588</v>
      </c>
      <c r="O104" s="115">
        <f>+'Proposed Rates'!D101</f>
        <v>14.490508620058588</v>
      </c>
      <c r="P104" s="115">
        <f t="shared" si="70"/>
        <v>172.8</v>
      </c>
      <c r="Q104" s="115">
        <f t="shared" si="71"/>
        <v>173.88610344070304</v>
      </c>
      <c r="R104" s="115">
        <f t="shared" si="23"/>
        <v>1.0861034407030274</v>
      </c>
      <c r="S104" s="115">
        <f t="shared" si="67"/>
        <v>173.88610344070304</v>
      </c>
      <c r="T104" s="115">
        <f t="shared" si="25"/>
        <v>0</v>
      </c>
      <c r="U104" s="114">
        <f t="shared" si="26"/>
        <v>14.490508620058588</v>
      </c>
      <c r="V104" s="114">
        <f t="shared" si="68"/>
        <v>173.88610344070304</v>
      </c>
      <c r="W104" s="114">
        <f t="shared" si="28"/>
        <v>1.0861034407030274</v>
      </c>
      <c r="X104" s="209">
        <f t="shared" si="30"/>
        <v>-2.9531932455029164E-14</v>
      </c>
    </row>
    <row r="105" spans="1:31">
      <c r="A105" s="217"/>
      <c r="B105" s="153">
        <v>30</v>
      </c>
      <c r="C105" s="130" t="s">
        <v>405</v>
      </c>
      <c r="D105" s="101">
        <f>+'Company Regulated Cust Count'!AC132</f>
        <v>5</v>
      </c>
      <c r="E105" s="155">
        <f>+References!B11</f>
        <v>4.333333333333333</v>
      </c>
      <c r="F105" s="101">
        <f>+D105*E105*12</f>
        <v>260</v>
      </c>
      <c r="G105" s="101">
        <f>+References!B30*2</f>
        <v>58</v>
      </c>
      <c r="H105" s="101">
        <f>+F105*G105</f>
        <v>15080</v>
      </c>
      <c r="I105" s="101">
        <f t="shared" si="66"/>
        <v>13923.775122660169</v>
      </c>
      <c r="J105" s="115">
        <f>+I105*References!$C$55</f>
        <v>10.651687968835054</v>
      </c>
      <c r="K105" s="115">
        <f>+J105/References!$G$58</f>
        <v>10.861034407030569</v>
      </c>
      <c r="L105" s="115">
        <f t="shared" ref="L105:L109" si="72">+K105/F105*E105</f>
        <v>0.18101724011717615</v>
      </c>
      <c r="M105" s="115">
        <f>+'Proposed Rates'!B98*2*References!B11</f>
        <v>27.473333333333329</v>
      </c>
      <c r="N105" s="115">
        <f>+L105+M105</f>
        <v>27.654350573450504</v>
      </c>
      <c r="O105" s="115">
        <f>+'Proposed Rates'!D98*2*References!B11</f>
        <v>27.654350573450508</v>
      </c>
      <c r="P105" s="115">
        <f t="shared" si="70"/>
        <v>1648.3999999999996</v>
      </c>
      <c r="Q105" s="115">
        <f t="shared" si="71"/>
        <v>1659.2610344070304</v>
      </c>
      <c r="R105" s="115">
        <f t="shared" si="23"/>
        <v>10.861034407030729</v>
      </c>
      <c r="S105" s="115">
        <f t="shared" si="67"/>
        <v>1659.2610344070304</v>
      </c>
      <c r="T105" s="115">
        <f t="shared" si="25"/>
        <v>0</v>
      </c>
      <c r="U105" s="114">
        <f t="shared" si="26"/>
        <v>27.654350573450504</v>
      </c>
      <c r="V105" s="114">
        <f t="shared" si="68"/>
        <v>1659.2610344070304</v>
      </c>
      <c r="W105" s="114">
        <f t="shared" si="28"/>
        <v>10.861034407030729</v>
      </c>
      <c r="X105" s="209">
        <f t="shared" si="30"/>
        <v>1.5987211554602254E-13</v>
      </c>
    </row>
    <row r="106" spans="1:31">
      <c r="A106" s="217"/>
      <c r="B106" s="153">
        <v>30</v>
      </c>
      <c r="C106" s="130" t="s">
        <v>407</v>
      </c>
      <c r="D106" s="101">
        <f>+'Company Regulated Cust Count'!AC133</f>
        <v>1</v>
      </c>
      <c r="E106" s="155">
        <f>+References!B11</f>
        <v>4.333333333333333</v>
      </c>
      <c r="F106" s="101">
        <f t="shared" si="29"/>
        <v>52</v>
      </c>
      <c r="G106" s="101">
        <f>+References!B30*3</f>
        <v>87</v>
      </c>
      <c r="H106" s="101">
        <f t="shared" si="18"/>
        <v>4524</v>
      </c>
      <c r="I106" s="101">
        <f t="shared" si="66"/>
        <v>4177.1325367980508</v>
      </c>
      <c r="J106" s="115">
        <f>+I106*References!$C$55</f>
        <v>3.1955063906505163</v>
      </c>
      <c r="K106" s="115">
        <f>+J106/References!$G$58</f>
        <v>3.2583103221091707</v>
      </c>
      <c r="L106" s="115">
        <f t="shared" si="72"/>
        <v>0.27152586017576419</v>
      </c>
      <c r="M106" s="115">
        <f>+'Proposed Rates'!$B$100*3*References!$B$11</f>
        <v>41.209999999999994</v>
      </c>
      <c r="N106" s="115">
        <f t="shared" si="20"/>
        <v>41.481525860175758</v>
      </c>
      <c r="O106" s="115">
        <f>+'Proposed Rates'!D100*3*References!B11</f>
        <v>41.481525860175765</v>
      </c>
      <c r="P106" s="115">
        <f t="shared" si="70"/>
        <v>494.51999999999992</v>
      </c>
      <c r="Q106" s="115">
        <f t="shared" si="71"/>
        <v>497.77831032210918</v>
      </c>
      <c r="R106" s="115">
        <f t="shared" si="23"/>
        <v>3.2583103221092529</v>
      </c>
      <c r="S106" s="115">
        <f t="shared" si="67"/>
        <v>497.77831032210906</v>
      </c>
      <c r="T106" s="115">
        <f t="shared" si="25"/>
        <v>0</v>
      </c>
      <c r="U106" s="114">
        <f t="shared" si="26"/>
        <v>41.481525860175758</v>
      </c>
      <c r="V106" s="114">
        <f t="shared" si="68"/>
        <v>497.77831032210906</v>
      </c>
      <c r="W106" s="114">
        <f t="shared" si="28"/>
        <v>3.2583103221091392</v>
      </c>
      <c r="X106" s="209">
        <f t="shared" si="30"/>
        <v>-3.1530333899354446E-14</v>
      </c>
    </row>
    <row r="107" spans="1:31">
      <c r="A107" s="217"/>
      <c r="B107" s="153">
        <v>30</v>
      </c>
      <c r="C107" s="130" t="s">
        <v>409</v>
      </c>
      <c r="D107" s="101">
        <f>+'Company Regulated Cust Count'!AC134</f>
        <v>0.89584892297460594</v>
      </c>
      <c r="E107" s="155">
        <f>+References!B11</f>
        <v>4.333333333333333</v>
      </c>
      <c r="F107" s="101">
        <f t="shared" si="29"/>
        <v>46.584143994679508</v>
      </c>
      <c r="G107" s="101">
        <f>+References!B30*3</f>
        <v>87</v>
      </c>
      <c r="H107" s="101">
        <f t="shared" si="18"/>
        <v>4052.820527537117</v>
      </c>
      <c r="I107" s="101">
        <f t="shared" si="66"/>
        <v>3742.079684212717</v>
      </c>
      <c r="J107" s="115">
        <f>+I107*References!$C$55</f>
        <v>2.8626909584227351</v>
      </c>
      <c r="K107" s="115">
        <f>+J107/References!$G$58</f>
        <v>2.9189537927785416</v>
      </c>
      <c r="L107" s="115">
        <f t="shared" si="72"/>
        <v>0.27152586017576419</v>
      </c>
      <c r="M107" s="115">
        <f>+'Proposed Rates'!$B$100*3*References!$B$11</f>
        <v>41.209999999999994</v>
      </c>
      <c r="N107" s="115">
        <f t="shared" si="20"/>
        <v>41.481525860175758</v>
      </c>
      <c r="O107" s="115">
        <f>+'Proposed Rates'!D100*3*References!B11</f>
        <v>41.481525860175765</v>
      </c>
      <c r="P107" s="115">
        <f t="shared" si="70"/>
        <v>443.015209389402</v>
      </c>
      <c r="Q107" s="115">
        <f t="shared" si="71"/>
        <v>445.93416318218067</v>
      </c>
      <c r="R107" s="115">
        <f t="shared" si="23"/>
        <v>2.918953792778666</v>
      </c>
      <c r="S107" s="115">
        <f t="shared" si="67"/>
        <v>445.93416318218067</v>
      </c>
      <c r="T107" s="115">
        <f t="shared" si="25"/>
        <v>0</v>
      </c>
      <c r="U107" s="114">
        <f t="shared" si="26"/>
        <v>41.481525860175758</v>
      </c>
      <c r="V107" s="114">
        <f t="shared" si="68"/>
        <v>445.93416318218067</v>
      </c>
      <c r="W107" s="114">
        <f t="shared" si="28"/>
        <v>2.918953792778666</v>
      </c>
      <c r="X107" s="209">
        <f t="shared" si="30"/>
        <v>1.2434497875801753E-13</v>
      </c>
    </row>
    <row r="108" spans="1:31">
      <c r="A108" s="217"/>
      <c r="B108" s="153">
        <v>30</v>
      </c>
      <c r="C108" s="130" t="s">
        <v>411</v>
      </c>
      <c r="D108" s="101">
        <f>+'Company Regulated Cust Count'!AC135</f>
        <v>2</v>
      </c>
      <c r="E108" s="155">
        <f>+References!B11</f>
        <v>4.333333333333333</v>
      </c>
      <c r="F108" s="101">
        <f t="shared" si="29"/>
        <v>104</v>
      </c>
      <c r="G108" s="101">
        <f>+References!B30*6</f>
        <v>174</v>
      </c>
      <c r="H108" s="101">
        <f t="shared" si="18"/>
        <v>18096</v>
      </c>
      <c r="I108" s="101">
        <f t="shared" si="66"/>
        <v>16708.530147192203</v>
      </c>
      <c r="J108" s="115">
        <f>+I108*References!$C$55</f>
        <v>12.782025562602065</v>
      </c>
      <c r="K108" s="115">
        <f>+J108/References!$G$58</f>
        <v>13.033241288436683</v>
      </c>
      <c r="L108" s="115">
        <f t="shared" si="72"/>
        <v>0.54305172035152838</v>
      </c>
      <c r="M108" s="115">
        <f>+'Proposed Rates'!B99*6*References!B11</f>
        <v>76.7</v>
      </c>
      <c r="N108" s="115">
        <f t="shared" si="20"/>
        <v>77.243051720351531</v>
      </c>
      <c r="O108" s="115">
        <f>+'Proposed Rates'!D99*6*References!B11</f>
        <v>77.243051720351531</v>
      </c>
      <c r="P108" s="115">
        <f t="shared" si="70"/>
        <v>1840.8000000000002</v>
      </c>
      <c r="Q108" s="115">
        <f t="shared" si="71"/>
        <v>1853.8332412884367</v>
      </c>
      <c r="R108" s="115">
        <f t="shared" si="23"/>
        <v>13.033241288436557</v>
      </c>
      <c r="S108" s="115">
        <f t="shared" si="67"/>
        <v>1853.8332412884367</v>
      </c>
      <c r="T108" s="115">
        <f t="shared" si="25"/>
        <v>0</v>
      </c>
      <c r="U108" s="114">
        <f t="shared" si="26"/>
        <v>77.243051720351531</v>
      </c>
      <c r="V108" s="114">
        <f t="shared" si="68"/>
        <v>1853.8332412884367</v>
      </c>
      <c r="W108" s="114">
        <f t="shared" si="28"/>
        <v>13.033241288436557</v>
      </c>
      <c r="X108" s="209">
        <f t="shared" si="30"/>
        <v>-1.2612133559741778E-13</v>
      </c>
    </row>
    <row r="109" spans="1:31">
      <c r="A109" s="217"/>
      <c r="B109" s="153">
        <v>30</v>
      </c>
      <c r="C109" s="130" t="s">
        <v>413</v>
      </c>
      <c r="D109" s="101">
        <f>+'Company Regulated Cust Count'!AC136</f>
        <v>1</v>
      </c>
      <c r="E109" s="155">
        <f>+References!B11</f>
        <v>4.333333333333333</v>
      </c>
      <c r="F109" s="101">
        <f t="shared" si="29"/>
        <v>52</v>
      </c>
      <c r="G109" s="101">
        <f>+References!B30*9</f>
        <v>261</v>
      </c>
      <c r="H109" s="101">
        <f t="shared" si="18"/>
        <v>13572</v>
      </c>
      <c r="I109" s="101">
        <f t="shared" si="66"/>
        <v>12531.397610394153</v>
      </c>
      <c r="J109" s="115">
        <f>+I109*References!$C$55</f>
        <v>9.586519171951549</v>
      </c>
      <c r="K109" s="115">
        <f>+J109/References!$G$58</f>
        <v>9.7749309663275117</v>
      </c>
      <c r="L109" s="115">
        <f t="shared" si="72"/>
        <v>0.81457758052729257</v>
      </c>
      <c r="M109" s="115">
        <f>+'Proposed Rates'!B99*9*References!B11</f>
        <v>115.05</v>
      </c>
      <c r="N109" s="115">
        <f t="shared" si="20"/>
        <v>115.8645775805273</v>
      </c>
      <c r="O109" s="115">
        <f>+'Proposed Rates'!D99*9*References!B11</f>
        <v>115.8645775805273</v>
      </c>
      <c r="P109" s="115">
        <f t="shared" si="70"/>
        <v>1380.6</v>
      </c>
      <c r="Q109" s="115">
        <f t="shared" si="71"/>
        <v>1390.3749309663276</v>
      </c>
      <c r="R109" s="115">
        <f t="shared" si="23"/>
        <v>9.7749309663277018</v>
      </c>
      <c r="S109" s="115">
        <f t="shared" si="67"/>
        <v>1390.3749309663276</v>
      </c>
      <c r="T109" s="115">
        <f t="shared" si="25"/>
        <v>0</v>
      </c>
      <c r="U109" s="114">
        <f t="shared" ref="U109" si="73">+N109</f>
        <v>115.8645775805273</v>
      </c>
      <c r="V109" s="114">
        <f t="shared" si="68"/>
        <v>1390.3749309663276</v>
      </c>
      <c r="W109" s="114">
        <f t="shared" ref="W109" si="74">+V109-P109</f>
        <v>9.7749309663277018</v>
      </c>
      <c r="X109" s="209">
        <f t="shared" si="30"/>
        <v>1.900701818158268E-13</v>
      </c>
    </row>
    <row r="110" spans="1:31">
      <c r="A110" s="217"/>
      <c r="B110" s="153">
        <v>30</v>
      </c>
      <c r="C110" s="130" t="s">
        <v>415</v>
      </c>
      <c r="D110" s="101">
        <f>+'Company Regulated Cust Count'!AC137</f>
        <v>6.9583783933100314</v>
      </c>
      <c r="E110" s="155">
        <f>+References!B11</f>
        <v>4.333333333333333</v>
      </c>
      <c r="F110" s="101">
        <f t="shared" si="29"/>
        <v>361.83567645212162</v>
      </c>
      <c r="G110" s="101">
        <f>+References!B25</f>
        <v>47</v>
      </c>
      <c r="H110" s="101">
        <f t="shared" si="18"/>
        <v>17006.276793249715</v>
      </c>
      <c r="I110" s="101">
        <f t="shared" si="66"/>
        <v>15702.359001520115</v>
      </c>
      <c r="J110" s="115">
        <f>+I110*References!$C$55</f>
        <v>12.012304636162916</v>
      </c>
      <c r="K110" s="115">
        <f>+J110/References!$G$58</f>
        <v>12.248392399666489</v>
      </c>
      <c r="L110" s="115">
        <f t="shared" si="19"/>
        <v>3.3850704053742492E-2</v>
      </c>
      <c r="M110" s="115">
        <f>+'Proposed Rates'!B105</f>
        <v>6.5</v>
      </c>
      <c r="N110" s="115">
        <f t="shared" si="20"/>
        <v>6.5338507040537426</v>
      </c>
      <c r="O110" s="115">
        <f>+'Proposed Rates'!D105</f>
        <v>6.5338507040537426</v>
      </c>
      <c r="P110" s="115">
        <f t="shared" si="21"/>
        <v>2351.9318969387905</v>
      </c>
      <c r="Q110" s="115">
        <f t="shared" si="22"/>
        <v>2364.180289338457</v>
      </c>
      <c r="R110" s="115">
        <f t="shared" si="23"/>
        <v>12.2483923996665</v>
      </c>
      <c r="S110" s="115">
        <f t="shared" si="24"/>
        <v>2364.180289338457</v>
      </c>
      <c r="T110" s="115">
        <f t="shared" si="25"/>
        <v>0</v>
      </c>
      <c r="U110" s="114">
        <f t="shared" si="26"/>
        <v>6.5338507040537426</v>
      </c>
      <c r="V110" s="114">
        <f t="shared" si="27"/>
        <v>2364.180289338457</v>
      </c>
      <c r="W110" s="114">
        <f t="shared" si="28"/>
        <v>12.2483923996665</v>
      </c>
      <c r="X110" s="209">
        <f t="shared" si="30"/>
        <v>0</v>
      </c>
    </row>
    <row r="111" spans="1:31">
      <c r="A111" s="217"/>
      <c r="B111" s="153">
        <v>30</v>
      </c>
      <c r="C111" s="130" t="s">
        <v>417</v>
      </c>
      <c r="D111" s="101">
        <f>+'Company Regulated Cust Count'!AC138</f>
        <v>42.75</v>
      </c>
      <c r="E111" s="155">
        <f>+References!B11</f>
        <v>4.333333333333333</v>
      </c>
      <c r="F111" s="101">
        <f t="shared" si="29"/>
        <v>2223</v>
      </c>
      <c r="G111" s="101">
        <f>+References!B25</f>
        <v>47</v>
      </c>
      <c r="H111" s="101">
        <f t="shared" si="18"/>
        <v>104481</v>
      </c>
      <c r="I111" s="101">
        <f t="shared" si="66"/>
        <v>96470.155742086019</v>
      </c>
      <c r="J111" s="115">
        <f>+I111*References!$C$55</f>
        <v>73.799669142695976</v>
      </c>
      <c r="K111" s="115">
        <f>+J111/References!$G$58</f>
        <v>75.250115111469555</v>
      </c>
      <c r="L111" s="115">
        <f t="shared" si="19"/>
        <v>3.3850704053742492E-2</v>
      </c>
      <c r="M111" s="115">
        <f>+'Proposed Rates'!B105</f>
        <v>6.5</v>
      </c>
      <c r="N111" s="115">
        <f t="shared" si="20"/>
        <v>6.5338507040537426</v>
      </c>
      <c r="O111" s="115">
        <f>+'Proposed Rates'!D105</f>
        <v>6.5338507040537426</v>
      </c>
      <c r="P111" s="115">
        <f t="shared" si="21"/>
        <v>14449.5</v>
      </c>
      <c r="Q111" s="115">
        <f t="shared" si="22"/>
        <v>14524.75011511147</v>
      </c>
      <c r="R111" s="115">
        <f t="shared" si="23"/>
        <v>75.250115111470222</v>
      </c>
      <c r="S111" s="115">
        <f t="shared" si="24"/>
        <v>14524.75011511147</v>
      </c>
      <c r="T111" s="115">
        <f t="shared" si="25"/>
        <v>0</v>
      </c>
      <c r="U111" s="114">
        <f t="shared" si="26"/>
        <v>6.5338507040537426</v>
      </c>
      <c r="V111" s="114">
        <f t="shared" si="27"/>
        <v>14524.75011511147</v>
      </c>
      <c r="W111" s="114">
        <f t="shared" si="28"/>
        <v>75.250115111470222</v>
      </c>
      <c r="X111" s="209">
        <f t="shared" si="30"/>
        <v>6.6791017161449417E-13</v>
      </c>
    </row>
    <row r="112" spans="1:31">
      <c r="A112" s="217"/>
      <c r="B112" s="153">
        <v>30</v>
      </c>
      <c r="C112" s="130" t="s">
        <v>419</v>
      </c>
      <c r="D112" s="101">
        <f>+'Company Regulated Cust Count'!AC139</f>
        <v>7.1954473620228541</v>
      </c>
      <c r="E112" s="155">
        <f>+References!B12</f>
        <v>2.1666666666666665</v>
      </c>
      <c r="F112" s="101">
        <f t="shared" si="29"/>
        <v>187.08163141259419</v>
      </c>
      <c r="G112" s="101">
        <f>+References!B25</f>
        <v>47</v>
      </c>
      <c r="H112" s="101">
        <f t="shared" si="18"/>
        <v>8792.8366763919275</v>
      </c>
      <c r="I112" s="101">
        <f t="shared" si="66"/>
        <v>8118.6658204482655</v>
      </c>
      <c r="J112" s="115">
        <f>+I112*References!$C$55</f>
        <v>6.2107793526429376</v>
      </c>
      <c r="K112" s="115">
        <f>+J112/References!$G$58</f>
        <v>6.3328449388390604</v>
      </c>
      <c r="L112" s="115">
        <f t="shared" si="19"/>
        <v>3.3850704053742492E-2</v>
      </c>
      <c r="M112" s="115">
        <f>+'Proposed Rates'!B105</f>
        <v>6.5</v>
      </c>
      <c r="N112" s="115">
        <f t="shared" si="20"/>
        <v>6.5338507040537426</v>
      </c>
      <c r="O112" s="115">
        <f>+'Proposed Rates'!D105</f>
        <v>6.5338507040537426</v>
      </c>
      <c r="P112" s="115">
        <f t="shared" si="21"/>
        <v>1216.0306041818621</v>
      </c>
      <c r="Q112" s="115">
        <f t="shared" si="22"/>
        <v>1222.3634491207013</v>
      </c>
      <c r="R112" s="115">
        <f t="shared" si="23"/>
        <v>6.3328449388391164</v>
      </c>
      <c r="S112" s="115">
        <f t="shared" si="24"/>
        <v>1222.3634491207013</v>
      </c>
      <c r="T112" s="115">
        <f t="shared" si="25"/>
        <v>0</v>
      </c>
      <c r="U112" s="114">
        <f t="shared" si="26"/>
        <v>6.5338507040537426</v>
      </c>
      <c r="V112" s="114">
        <f t="shared" si="27"/>
        <v>1222.3634491207013</v>
      </c>
      <c r="W112" s="114">
        <f t="shared" si="28"/>
        <v>6.3328449388391164</v>
      </c>
      <c r="X112" s="209">
        <f t="shared" si="30"/>
        <v>5.595524044110789E-14</v>
      </c>
    </row>
    <row r="113" spans="1:24">
      <c r="A113" s="217"/>
      <c r="B113" s="153">
        <v>30</v>
      </c>
      <c r="C113" s="130" t="s">
        <v>421</v>
      </c>
      <c r="D113" s="101">
        <f>+'Company Regulated Cust Count'!AC140</f>
        <v>11.654047619047619</v>
      </c>
      <c r="E113" s="155">
        <f>+References!B12</f>
        <v>2.1666666666666665</v>
      </c>
      <c r="F113" s="101">
        <f t="shared" si="29"/>
        <v>303.00523809523804</v>
      </c>
      <c r="G113" s="101">
        <f>+References!B25</f>
        <v>47</v>
      </c>
      <c r="H113" s="101">
        <f t="shared" si="18"/>
        <v>14241.246190476188</v>
      </c>
      <c r="I113" s="101">
        <f t="shared" si="66"/>
        <v>13149.330863569712</v>
      </c>
      <c r="J113" s="115">
        <f>+I113*References!$C$55</f>
        <v>10.059238110630853</v>
      </c>
      <c r="K113" s="115">
        <f>+J113/References!$G$58</f>
        <v>10.256940641495682</v>
      </c>
      <c r="L113" s="115">
        <f t="shared" si="19"/>
        <v>3.3850704053742485E-2</v>
      </c>
      <c r="M113" s="115">
        <f>+'Proposed Rates'!B105</f>
        <v>6.5</v>
      </c>
      <c r="N113" s="115">
        <f t="shared" si="20"/>
        <v>6.5338507040537426</v>
      </c>
      <c r="O113" s="115">
        <f>+'Proposed Rates'!D105</f>
        <v>6.5338507040537426</v>
      </c>
      <c r="P113" s="115">
        <f t="shared" si="21"/>
        <v>1969.5340476190472</v>
      </c>
      <c r="Q113" s="115">
        <f t="shared" si="22"/>
        <v>1979.7909882605429</v>
      </c>
      <c r="R113" s="115">
        <f t="shared" si="23"/>
        <v>10.256940641495703</v>
      </c>
      <c r="S113" s="115">
        <f t="shared" si="24"/>
        <v>1979.7909882605429</v>
      </c>
      <c r="T113" s="115">
        <f t="shared" si="25"/>
        <v>0</v>
      </c>
      <c r="U113" s="114">
        <f t="shared" si="26"/>
        <v>6.5338507040537426</v>
      </c>
      <c r="V113" s="114">
        <f t="shared" si="27"/>
        <v>1979.7909882605429</v>
      </c>
      <c r="W113" s="114">
        <f t="shared" si="28"/>
        <v>10.256940641495703</v>
      </c>
      <c r="X113" s="209">
        <f t="shared" si="30"/>
        <v>2.1316282072803006E-14</v>
      </c>
    </row>
    <row r="114" spans="1:24">
      <c r="A114" s="217"/>
      <c r="B114" s="153">
        <v>30</v>
      </c>
      <c r="C114" s="130" t="s">
        <v>423</v>
      </c>
      <c r="D114" s="101">
        <f>+'Company Regulated Cust Count'!AC141</f>
        <v>1.7083333333333333</v>
      </c>
      <c r="E114" s="155">
        <f>+References!B11</f>
        <v>4.333333333333333</v>
      </c>
      <c r="F114" s="101">
        <f t="shared" si="29"/>
        <v>88.833333333333314</v>
      </c>
      <c r="G114" s="101">
        <f>+References!B25*2</f>
        <v>94</v>
      </c>
      <c r="H114" s="101">
        <f t="shared" si="18"/>
        <v>8350.3333333333321</v>
      </c>
      <c r="I114" s="101">
        <f t="shared" si="66"/>
        <v>7710.0904199327997</v>
      </c>
      <c r="J114" s="115">
        <f>+I114*References!$C$55</f>
        <v>5.8982191712486056</v>
      </c>
      <c r="K114" s="115">
        <f>+J114/References!$G$58</f>
        <v>6.0141417535482482</v>
      </c>
      <c r="L114" s="115">
        <f t="shared" si="19"/>
        <v>6.7701408107484984E-2</v>
      </c>
      <c r="M114" s="115">
        <f>+'Proposed Rates'!B105*2</f>
        <v>13</v>
      </c>
      <c r="N114" s="115">
        <f t="shared" si="20"/>
        <v>13.067701408107485</v>
      </c>
      <c r="O114" s="115">
        <f>+'Proposed Rates'!D105*2</f>
        <v>13.067701408107485</v>
      </c>
      <c r="P114" s="115">
        <f t="shared" si="21"/>
        <v>1154.833333333333</v>
      </c>
      <c r="Q114" s="115">
        <f t="shared" si="22"/>
        <v>1160.8474750868813</v>
      </c>
      <c r="R114" s="115">
        <f t="shared" si="23"/>
        <v>6.0141417535483015</v>
      </c>
      <c r="S114" s="115">
        <f t="shared" si="24"/>
        <v>1160.8474750868813</v>
      </c>
      <c r="T114" s="115">
        <f t="shared" si="25"/>
        <v>0</v>
      </c>
      <c r="U114" s="114">
        <f t="shared" si="26"/>
        <v>13.067701408107485</v>
      </c>
      <c r="V114" s="114">
        <f t="shared" si="27"/>
        <v>1160.8474750868813</v>
      </c>
      <c r="W114" s="114">
        <f t="shared" si="28"/>
        <v>6.0141417535483015</v>
      </c>
      <c r="X114" s="209">
        <f t="shared" si="30"/>
        <v>5.3290705182007514E-14</v>
      </c>
    </row>
    <row r="115" spans="1:24">
      <c r="A115" s="217"/>
      <c r="B115" s="153">
        <v>30</v>
      </c>
      <c r="C115" s="130" t="s">
        <v>425</v>
      </c>
      <c r="D115" s="101">
        <f>+'Company Regulated Cust Count'!AC142</f>
        <v>0.41666666666666669</v>
      </c>
      <c r="E115" s="155">
        <f>+References!B11</f>
        <v>4.333333333333333</v>
      </c>
      <c r="F115" s="101">
        <f t="shared" si="29"/>
        <v>21.666666666666668</v>
      </c>
      <c r="G115" s="101">
        <f>+References!B25*3</f>
        <v>141</v>
      </c>
      <c r="H115" s="101">
        <f t="shared" si="18"/>
        <v>3055</v>
      </c>
      <c r="I115" s="101">
        <f t="shared" si="66"/>
        <v>2820.7647877802929</v>
      </c>
      <c r="J115" s="115">
        <f>+I115*References!$C$55</f>
        <v>2.1578850626519293</v>
      </c>
      <c r="K115" s="115">
        <f>+J115/References!$G$58</f>
        <v>2.2002957634932621</v>
      </c>
      <c r="L115" s="115">
        <f t="shared" si="19"/>
        <v>0.10155211216122748</v>
      </c>
      <c r="M115" s="115">
        <f>+'Proposed Rates'!B105*3</f>
        <v>19.5</v>
      </c>
      <c r="N115" s="115">
        <f t="shared" si="20"/>
        <v>19.601552112161226</v>
      </c>
      <c r="O115" s="115">
        <f>+'Proposed Rates'!D105*3</f>
        <v>19.60155211216123</v>
      </c>
      <c r="P115" s="115">
        <f t="shared" si="21"/>
        <v>422.5</v>
      </c>
      <c r="Q115" s="115">
        <f t="shared" si="22"/>
        <v>424.70029576349333</v>
      </c>
      <c r="R115" s="115">
        <f t="shared" si="23"/>
        <v>2.2002957634933296</v>
      </c>
      <c r="S115" s="115">
        <f t="shared" si="24"/>
        <v>424.70029576349327</v>
      </c>
      <c r="T115" s="115">
        <f t="shared" si="25"/>
        <v>0</v>
      </c>
      <c r="U115" s="114">
        <f t="shared" si="26"/>
        <v>19.601552112161226</v>
      </c>
      <c r="V115" s="114">
        <f t="shared" si="27"/>
        <v>424.70029576349327</v>
      </c>
      <c r="W115" s="114">
        <f t="shared" si="28"/>
        <v>2.2002957634932727</v>
      </c>
      <c r="X115" s="209">
        <f t="shared" si="30"/>
        <v>1.0658141036401503E-14</v>
      </c>
    </row>
    <row r="116" spans="1:24">
      <c r="A116" s="217"/>
      <c r="B116" s="153">
        <v>30</v>
      </c>
      <c r="C116" s="130" t="s">
        <v>427</v>
      </c>
      <c r="D116" s="101">
        <f>+'Company Regulated Cust Count'!AC143</f>
        <v>7.2083540733366513</v>
      </c>
      <c r="E116" s="155">
        <f>+References!B11</f>
        <v>4.333333333333333</v>
      </c>
      <c r="F116" s="101">
        <f t="shared" si="29"/>
        <v>374.83441181350582</v>
      </c>
      <c r="G116" s="101">
        <f>+References!B26</f>
        <v>68</v>
      </c>
      <c r="H116" s="101">
        <f t="shared" si="18"/>
        <v>25488.740003318395</v>
      </c>
      <c r="I116" s="101">
        <f t="shared" si="66"/>
        <v>23534.448538869878</v>
      </c>
      <c r="J116" s="115">
        <f>+I116*References!$C$55</f>
        <v>18.003853132235498</v>
      </c>
      <c r="K116" s="115">
        <f>+J116/References!$G$58</f>
        <v>18.357697756491881</v>
      </c>
      <c r="L116" s="115">
        <f t="shared" si="19"/>
        <v>4.8975486716052966E-2</v>
      </c>
      <c r="M116" s="115">
        <f>+'Proposed Rates'!B108</f>
        <v>9.34</v>
      </c>
      <c r="N116" s="115">
        <f t="shared" si="20"/>
        <v>9.3889754867160526</v>
      </c>
      <c r="O116" s="115">
        <f>+'Proposed Rates'!D108</f>
        <v>9.3889754867160526</v>
      </c>
      <c r="P116" s="115">
        <f t="shared" si="21"/>
        <v>3500.9534063381443</v>
      </c>
      <c r="Q116" s="115">
        <f t="shared" si="22"/>
        <v>3519.311104094636</v>
      </c>
      <c r="R116" s="115">
        <f t="shared" si="23"/>
        <v>18.357697756491689</v>
      </c>
      <c r="S116" s="115">
        <f t="shared" si="24"/>
        <v>3519.311104094636</v>
      </c>
      <c r="T116" s="115">
        <f t="shared" si="25"/>
        <v>0</v>
      </c>
      <c r="U116" s="114">
        <f t="shared" si="26"/>
        <v>9.3889754867160526</v>
      </c>
      <c r="V116" s="114">
        <f t="shared" si="27"/>
        <v>3519.311104094636</v>
      </c>
      <c r="W116" s="114">
        <f t="shared" si="28"/>
        <v>18.357697756491689</v>
      </c>
      <c r="X116" s="209">
        <f t="shared" si="30"/>
        <v>-1.9184653865522705E-13</v>
      </c>
    </row>
    <row r="117" spans="1:24">
      <c r="A117" s="217"/>
      <c r="B117" s="153">
        <v>30</v>
      </c>
      <c r="C117" s="130" t="s">
        <v>429</v>
      </c>
      <c r="D117" s="101">
        <f>+'Company Regulated Cust Count'!AC144</f>
        <v>1</v>
      </c>
      <c r="E117" s="155">
        <f>+References!B11</f>
        <v>4.333333333333333</v>
      </c>
      <c r="F117" s="101">
        <f t="shared" si="29"/>
        <v>52</v>
      </c>
      <c r="G117" s="101">
        <f>+References!B26</f>
        <v>68</v>
      </c>
      <c r="H117" s="101">
        <f t="shared" si="18"/>
        <v>3536</v>
      </c>
      <c r="I117" s="101">
        <f t="shared" si="66"/>
        <v>3264.885201175488</v>
      </c>
      <c r="J117" s="115">
        <f>+I117*References!$C$55</f>
        <v>2.4976371788992542</v>
      </c>
      <c r="K117" s="115">
        <f>+J117/References!$G$58</f>
        <v>2.5467253092347542</v>
      </c>
      <c r="L117" s="115">
        <f t="shared" si="19"/>
        <v>4.8975486716052966E-2</v>
      </c>
      <c r="M117" s="115">
        <f>+'Proposed Rates'!B108</f>
        <v>9.34</v>
      </c>
      <c r="N117" s="115">
        <f t="shared" si="20"/>
        <v>9.3889754867160526</v>
      </c>
      <c r="O117" s="115">
        <f>+'Proposed Rates'!D108</f>
        <v>9.3889754867160526</v>
      </c>
      <c r="P117" s="115">
        <f t="shared" si="21"/>
        <v>485.68</v>
      </c>
      <c r="Q117" s="115">
        <f t="shared" si="22"/>
        <v>488.22672530923472</v>
      </c>
      <c r="R117" s="115">
        <f t="shared" si="23"/>
        <v>2.5467253092347164</v>
      </c>
      <c r="S117" s="115">
        <f t="shared" si="24"/>
        <v>488.22672530923472</v>
      </c>
      <c r="T117" s="115">
        <f t="shared" si="25"/>
        <v>0</v>
      </c>
      <c r="U117" s="114">
        <f t="shared" si="26"/>
        <v>9.3889754867160526</v>
      </c>
      <c r="V117" s="114">
        <f t="shared" si="27"/>
        <v>488.22672530923472</v>
      </c>
      <c r="W117" s="114">
        <f t="shared" si="28"/>
        <v>2.5467253092347164</v>
      </c>
      <c r="X117" s="209">
        <f t="shared" si="30"/>
        <v>-3.7747582837255322E-14</v>
      </c>
    </row>
    <row r="118" spans="1:24">
      <c r="A118" s="217"/>
      <c r="B118" s="153">
        <v>30</v>
      </c>
      <c r="C118" s="130" t="s">
        <v>431</v>
      </c>
      <c r="D118" s="101">
        <f>+'Company Regulated Cust Count'!AC145</f>
        <v>5.8500082960013273</v>
      </c>
      <c r="E118" s="155">
        <f>+References!B11</f>
        <v>4.333333333333333</v>
      </c>
      <c r="F118" s="101">
        <f t="shared" si="29"/>
        <v>304.20043139206899</v>
      </c>
      <c r="G118" s="101">
        <f>+References!B26</f>
        <v>68</v>
      </c>
      <c r="H118" s="101">
        <f t="shared" si="18"/>
        <v>20685.629334660691</v>
      </c>
      <c r="I118" s="101">
        <f t="shared" si="66"/>
        <v>19099.605512368566</v>
      </c>
      <c r="J118" s="115">
        <f>+I118*References!$C$55</f>
        <v>14.611198216961986</v>
      </c>
      <c r="K118" s="115">
        <f>+J118/References!$G$58</f>
        <v>14.898364186659855</v>
      </c>
      <c r="L118" s="115">
        <f t="shared" si="19"/>
        <v>4.8975486716052959E-2</v>
      </c>
      <c r="M118" s="115">
        <f>+'Proposed Rates'!B108</f>
        <v>9.34</v>
      </c>
      <c r="N118" s="115">
        <f t="shared" si="20"/>
        <v>9.3889754867160526</v>
      </c>
      <c r="O118" s="115">
        <f>+'Proposed Rates'!D108</f>
        <v>9.3889754867160526</v>
      </c>
      <c r="P118" s="115">
        <f t="shared" si="21"/>
        <v>2841.2320292019244</v>
      </c>
      <c r="Q118" s="115">
        <f t="shared" si="22"/>
        <v>2856.1303933885843</v>
      </c>
      <c r="R118" s="115">
        <f t="shared" si="23"/>
        <v>14.898364186659819</v>
      </c>
      <c r="S118" s="115">
        <f t="shared" si="24"/>
        <v>2856.1303933885843</v>
      </c>
      <c r="T118" s="115">
        <f t="shared" si="25"/>
        <v>0</v>
      </c>
      <c r="U118" s="114">
        <f t="shared" si="26"/>
        <v>9.3889754867160526</v>
      </c>
      <c r="V118" s="114">
        <f t="shared" si="27"/>
        <v>2856.1303933885843</v>
      </c>
      <c r="W118" s="114">
        <f t="shared" si="28"/>
        <v>14.898364186659819</v>
      </c>
      <c r="X118" s="209">
        <f t="shared" si="30"/>
        <v>-3.5527136788005009E-14</v>
      </c>
    </row>
    <row r="119" spans="1:24">
      <c r="A119" s="217"/>
      <c r="B119" s="153">
        <v>30</v>
      </c>
      <c r="C119" s="130" t="s">
        <v>433</v>
      </c>
      <c r="D119" s="101">
        <f>+'Company Regulated Cust Count'!AC146</f>
        <v>1.375</v>
      </c>
      <c r="E119" s="155">
        <f>+References!B11</f>
        <v>4.333333333333333</v>
      </c>
      <c r="F119" s="101">
        <f t="shared" si="29"/>
        <v>71.5</v>
      </c>
      <c r="G119" s="101">
        <f>+References!B26*2</f>
        <v>136</v>
      </c>
      <c r="H119" s="101">
        <f t="shared" si="18"/>
        <v>9724</v>
      </c>
      <c r="I119" s="101">
        <f t="shared" si="66"/>
        <v>8978.4343032325924</v>
      </c>
      <c r="J119" s="115">
        <f>+I119*References!$C$55</f>
        <v>6.8685022419729496</v>
      </c>
      <c r="K119" s="115">
        <f>+J119/References!$G$58</f>
        <v>7.0034946003955749</v>
      </c>
      <c r="L119" s="115">
        <f t="shared" si="19"/>
        <v>9.7950973432105945E-2</v>
      </c>
      <c r="M119" s="115">
        <f>+'Proposed Rates'!B108*2</f>
        <v>18.68</v>
      </c>
      <c r="N119" s="115">
        <f t="shared" si="20"/>
        <v>18.777950973432105</v>
      </c>
      <c r="O119" s="115">
        <f>+'Proposed Rates'!D108*2</f>
        <v>18.777950973432105</v>
      </c>
      <c r="P119" s="115">
        <f t="shared" si="21"/>
        <v>1335.62</v>
      </c>
      <c r="Q119" s="115">
        <f t="shared" si="22"/>
        <v>1342.6234946003956</v>
      </c>
      <c r="R119" s="115">
        <f t="shared" si="23"/>
        <v>7.0034946003956975</v>
      </c>
      <c r="S119" s="115">
        <f t="shared" si="24"/>
        <v>1342.6234946003956</v>
      </c>
      <c r="T119" s="115">
        <f t="shared" si="25"/>
        <v>0</v>
      </c>
      <c r="U119" s="114">
        <f t="shared" si="26"/>
        <v>18.777950973432105</v>
      </c>
      <c r="V119" s="114">
        <f t="shared" si="27"/>
        <v>1342.6234946003956</v>
      </c>
      <c r="W119" s="114">
        <f t="shared" si="28"/>
        <v>7.0034946003956975</v>
      </c>
      <c r="X119" s="209">
        <f t="shared" si="30"/>
        <v>1.2256862191861728E-13</v>
      </c>
    </row>
    <row r="120" spans="1:24">
      <c r="A120" s="217"/>
      <c r="B120" s="153">
        <v>30</v>
      </c>
      <c r="C120" s="130" t="s">
        <v>435</v>
      </c>
      <c r="D120" s="101">
        <f>+'Company Regulated Cust Count'!AC147</f>
        <v>1</v>
      </c>
      <c r="E120" s="155">
        <f>+References!B11</f>
        <v>4.333333333333333</v>
      </c>
      <c r="F120" s="101">
        <f t="shared" si="29"/>
        <v>52</v>
      </c>
      <c r="G120" s="101">
        <f>+References!B26*2</f>
        <v>136</v>
      </c>
      <c r="H120" s="101">
        <f t="shared" si="18"/>
        <v>7072</v>
      </c>
      <c r="I120" s="101">
        <f t="shared" si="66"/>
        <v>6529.7704023509759</v>
      </c>
      <c r="J120" s="115">
        <f>+I120*References!$C$55</f>
        <v>4.9952743577985084</v>
      </c>
      <c r="K120" s="115">
        <f>+J120/References!$G$58</f>
        <v>5.0934506184695083</v>
      </c>
      <c r="L120" s="115">
        <f t="shared" si="19"/>
        <v>9.7950973432105931E-2</v>
      </c>
      <c r="M120" s="115">
        <f>+'Proposed Rates'!B108*2</f>
        <v>18.68</v>
      </c>
      <c r="N120" s="115">
        <f t="shared" si="20"/>
        <v>18.777950973432105</v>
      </c>
      <c r="O120" s="115">
        <f>+'Proposed Rates'!D108*2</f>
        <v>18.777950973432105</v>
      </c>
      <c r="P120" s="115">
        <f t="shared" si="21"/>
        <v>971.36</v>
      </c>
      <c r="Q120" s="115">
        <f t="shared" si="22"/>
        <v>976.45345061846945</v>
      </c>
      <c r="R120" s="115">
        <f t="shared" si="23"/>
        <v>5.0934506184694328</v>
      </c>
      <c r="S120" s="115">
        <f t="shared" si="24"/>
        <v>976.45345061846945</v>
      </c>
      <c r="T120" s="115">
        <f t="shared" si="25"/>
        <v>0</v>
      </c>
      <c r="U120" s="114">
        <f t="shared" si="26"/>
        <v>18.777950973432105</v>
      </c>
      <c r="V120" s="114">
        <f t="shared" si="27"/>
        <v>976.45345061846945</v>
      </c>
      <c r="W120" s="114">
        <f t="shared" si="28"/>
        <v>5.0934506184694328</v>
      </c>
      <c r="X120" s="209">
        <f t="shared" si="30"/>
        <v>-7.5495165674510645E-14</v>
      </c>
    </row>
    <row r="121" spans="1:24">
      <c r="A121" s="217"/>
      <c r="B121" s="153">
        <v>30</v>
      </c>
      <c r="C121" s="130" t="s">
        <v>437</v>
      </c>
      <c r="D121" s="101">
        <f>+'Company Regulated Cust Count'!AC148</f>
        <v>2.5</v>
      </c>
      <c r="E121" s="155">
        <f>+References!B12</f>
        <v>2.1666666666666665</v>
      </c>
      <c r="F121" s="101">
        <f t="shared" si="29"/>
        <v>65</v>
      </c>
      <c r="G121" s="101">
        <f>+References!B26</f>
        <v>68</v>
      </c>
      <c r="H121" s="101">
        <f t="shared" si="18"/>
        <v>4420</v>
      </c>
      <c r="I121" s="101">
        <f t="shared" si="66"/>
        <v>4081.10650146936</v>
      </c>
      <c r="J121" s="115">
        <f>+I121*References!$C$55</f>
        <v>3.1220464736240676</v>
      </c>
      <c r="K121" s="115">
        <f>+J121/References!$G$58</f>
        <v>3.1834066365434426</v>
      </c>
      <c r="L121" s="115">
        <f t="shared" si="19"/>
        <v>4.8975486716052966E-2</v>
      </c>
      <c r="M121" s="115">
        <f>+'Proposed Rates'!B108</f>
        <v>9.34</v>
      </c>
      <c r="N121" s="115">
        <f t="shared" si="20"/>
        <v>9.3889754867160526</v>
      </c>
      <c r="O121" s="115">
        <f>+'Proposed Rates'!D108</f>
        <v>9.3889754867160526</v>
      </c>
      <c r="P121" s="115">
        <f t="shared" si="21"/>
        <v>607.1</v>
      </c>
      <c r="Q121" s="115">
        <f t="shared" si="22"/>
        <v>610.28340663654342</v>
      </c>
      <c r="R121" s="115">
        <f t="shared" si="23"/>
        <v>3.1834066365433955</v>
      </c>
      <c r="S121" s="115">
        <f t="shared" si="24"/>
        <v>610.28340663654342</v>
      </c>
      <c r="T121" s="115">
        <f t="shared" si="25"/>
        <v>0</v>
      </c>
      <c r="U121" s="114">
        <f t="shared" si="26"/>
        <v>9.3889754867160526</v>
      </c>
      <c r="V121" s="114">
        <f t="shared" si="27"/>
        <v>610.28340663654342</v>
      </c>
      <c r="W121" s="114">
        <f t="shared" si="28"/>
        <v>3.1834066365433955</v>
      </c>
      <c r="X121" s="209">
        <f t="shared" si="30"/>
        <v>-4.7073456244106637E-14</v>
      </c>
    </row>
    <row r="122" spans="1:24">
      <c r="A122" s="217"/>
      <c r="B122" s="153">
        <v>30</v>
      </c>
      <c r="C122" s="130" t="s">
        <v>439</v>
      </c>
      <c r="D122" s="101">
        <f>+'Company Regulated Cust Count'!AC149</f>
        <v>5</v>
      </c>
      <c r="E122" s="155">
        <f>+References!B12</f>
        <v>2.1666666666666665</v>
      </c>
      <c r="F122" s="101">
        <f t="shared" si="29"/>
        <v>130</v>
      </c>
      <c r="G122" s="101">
        <f>+References!B26</f>
        <v>68</v>
      </c>
      <c r="H122" s="101">
        <f t="shared" si="18"/>
        <v>8840</v>
      </c>
      <c r="I122" s="101">
        <f t="shared" si="66"/>
        <v>8162.2130029387199</v>
      </c>
      <c r="J122" s="115">
        <f>+I122*References!$C$55</f>
        <v>6.2440929472481352</v>
      </c>
      <c r="K122" s="115">
        <f>+J122/References!$G$58</f>
        <v>6.3668132730868852</v>
      </c>
      <c r="L122" s="115">
        <f t="shared" si="19"/>
        <v>4.8975486716052966E-2</v>
      </c>
      <c r="M122" s="115">
        <f>+'Proposed Rates'!B108</f>
        <v>9.34</v>
      </c>
      <c r="N122" s="115">
        <f t="shared" si="20"/>
        <v>9.3889754867160526</v>
      </c>
      <c r="O122" s="115">
        <f>+'Proposed Rates'!D108</f>
        <v>9.3889754867160526</v>
      </c>
      <c r="P122" s="115">
        <f t="shared" si="21"/>
        <v>1214.2</v>
      </c>
      <c r="Q122" s="115">
        <f t="shared" si="22"/>
        <v>1220.5668132730868</v>
      </c>
      <c r="R122" s="115">
        <f t="shared" si="23"/>
        <v>6.366813273086791</v>
      </c>
      <c r="S122" s="115">
        <f t="shared" si="24"/>
        <v>1220.5668132730868</v>
      </c>
      <c r="T122" s="115">
        <f t="shared" si="25"/>
        <v>0</v>
      </c>
      <c r="U122" s="114">
        <f t="shared" si="26"/>
        <v>9.3889754867160526</v>
      </c>
      <c r="V122" s="114">
        <f t="shared" si="27"/>
        <v>1220.5668132730868</v>
      </c>
      <c r="W122" s="114">
        <f t="shared" si="28"/>
        <v>6.366813273086791</v>
      </c>
      <c r="X122" s="209">
        <f t="shared" si="30"/>
        <v>-9.4146912488213275E-14</v>
      </c>
    </row>
    <row r="123" spans="1:24">
      <c r="A123" s="217"/>
      <c r="B123" s="153">
        <v>29</v>
      </c>
      <c r="C123" s="100" t="s">
        <v>94</v>
      </c>
      <c r="D123" s="101">
        <f>+'Company Regulated Cust Count'!AC150</f>
        <v>0.83333333333333337</v>
      </c>
      <c r="E123" s="113">
        <f>+References!B13</f>
        <v>1</v>
      </c>
      <c r="F123" s="101">
        <f t="shared" si="29"/>
        <v>10</v>
      </c>
      <c r="G123" s="101">
        <f>+References!B31</f>
        <v>175</v>
      </c>
      <c r="H123" s="101">
        <f t="shared" si="18"/>
        <v>1750</v>
      </c>
      <c r="I123" s="101">
        <f t="shared" si="66"/>
        <v>1615.8227098577784</v>
      </c>
      <c r="J123" s="115">
        <f>+I123*References!$C$55</f>
        <v>1.2361043730412034</v>
      </c>
      <c r="K123" s="115">
        <f>+J123/References!$G$58</f>
        <v>1.2603985551925396</v>
      </c>
      <c r="L123" s="115">
        <f t="shared" si="19"/>
        <v>0.12603985551925395</v>
      </c>
      <c r="M123" s="115">
        <f>+'Proposed Rates'!B89</f>
        <v>29.21</v>
      </c>
      <c r="N123" s="115">
        <f t="shared" si="20"/>
        <v>29.336039855519253</v>
      </c>
      <c r="O123" s="115">
        <f>+'Proposed Rates'!D89</f>
        <v>29.336039855519253</v>
      </c>
      <c r="P123" s="115">
        <f t="shared" si="21"/>
        <v>292.10000000000002</v>
      </c>
      <c r="Q123" s="115">
        <f t="shared" si="22"/>
        <v>293.36039855519255</v>
      </c>
      <c r="R123" s="115">
        <f t="shared" si="23"/>
        <v>1.2603985551925234</v>
      </c>
      <c r="S123" s="115">
        <f t="shared" si="24"/>
        <v>293.36039855519255</v>
      </c>
      <c r="T123" s="115">
        <f t="shared" si="25"/>
        <v>0</v>
      </c>
      <c r="U123" s="114">
        <f t="shared" si="26"/>
        <v>29.336039855519253</v>
      </c>
      <c r="V123" s="114">
        <f t="shared" si="27"/>
        <v>293.36039855519255</v>
      </c>
      <c r="W123" s="114">
        <f t="shared" si="28"/>
        <v>1.2603985551925234</v>
      </c>
      <c r="X123" s="209">
        <f t="shared" si="30"/>
        <v>-1.6209256159527285E-14</v>
      </c>
    </row>
    <row r="124" spans="1:24">
      <c r="A124" s="217"/>
      <c r="B124" s="153">
        <v>29</v>
      </c>
      <c r="C124" s="100" t="s">
        <v>442</v>
      </c>
      <c r="D124" s="101">
        <f>+'Company Regulated Cust Count'!AC151</f>
        <v>1.5</v>
      </c>
      <c r="E124" s="113">
        <f>+References!B13</f>
        <v>1</v>
      </c>
      <c r="F124" s="101">
        <f t="shared" si="29"/>
        <v>18</v>
      </c>
      <c r="G124" s="101">
        <f>+References!B32</f>
        <v>250</v>
      </c>
      <c r="H124" s="101">
        <f t="shared" si="18"/>
        <v>4500</v>
      </c>
      <c r="I124" s="101">
        <f t="shared" si="66"/>
        <v>4154.9726824914296</v>
      </c>
      <c r="J124" s="115">
        <f>+I124*References!$C$55</f>
        <v>3.1785541021059509</v>
      </c>
      <c r="K124" s="115">
        <f>+J124/References!$G$58</f>
        <v>3.2410248562093869</v>
      </c>
      <c r="L124" s="115">
        <f t="shared" si="19"/>
        <v>0.18005693645607704</v>
      </c>
      <c r="M124" s="115">
        <f>+'Proposed Rates'!B90</f>
        <v>41.39</v>
      </c>
      <c r="N124" s="115">
        <f t="shared" si="20"/>
        <v>41.570056936456076</v>
      </c>
      <c r="O124" s="115">
        <f>+'Proposed Rates'!D90</f>
        <v>41.570056936456076</v>
      </c>
      <c r="P124" s="115">
        <f t="shared" si="21"/>
        <v>745.02</v>
      </c>
      <c r="Q124" s="115">
        <f t="shared" si="22"/>
        <v>748.26102485620936</v>
      </c>
      <c r="R124" s="115">
        <f t="shared" si="23"/>
        <v>3.2410248562093784</v>
      </c>
      <c r="S124" s="115">
        <f t="shared" si="24"/>
        <v>748.26102485620936</v>
      </c>
      <c r="T124" s="115">
        <f t="shared" si="25"/>
        <v>0</v>
      </c>
      <c r="U124" s="114">
        <f t="shared" si="26"/>
        <v>41.570056936456076</v>
      </c>
      <c r="V124" s="114">
        <f t="shared" si="27"/>
        <v>748.26102485620936</v>
      </c>
      <c r="W124" s="114">
        <f t="shared" si="28"/>
        <v>3.2410248562093784</v>
      </c>
      <c r="X124" s="209">
        <f t="shared" si="30"/>
        <v>-8.4376949871511897E-15</v>
      </c>
    </row>
    <row r="125" spans="1:24">
      <c r="A125" s="217"/>
      <c r="B125" s="153">
        <v>29</v>
      </c>
      <c r="C125" s="100" t="s">
        <v>444</v>
      </c>
      <c r="D125" s="101">
        <f>+'Company Regulated Cust Count'!AC152</f>
        <v>4.4985681017119843</v>
      </c>
      <c r="E125" s="113">
        <f>+References!B13</f>
        <v>1</v>
      </c>
      <c r="F125" s="101">
        <f t="shared" si="29"/>
        <v>53.982817220543808</v>
      </c>
      <c r="G125" s="101">
        <f>+References!B33</f>
        <v>324</v>
      </c>
      <c r="H125" s="101">
        <f t="shared" si="18"/>
        <v>17490.432779456194</v>
      </c>
      <c r="I125" s="101">
        <f t="shared" ref="I125:I134" si="75">+H125*$D$165</f>
        <v>16149.393423020698</v>
      </c>
      <c r="J125" s="115">
        <f>+I125*References!$C$55</f>
        <v>12.354285968610863</v>
      </c>
      <c r="K125" s="115">
        <f>+J125/References!$G$58</f>
        <v>12.597094974239328</v>
      </c>
      <c r="L125" s="115">
        <f t="shared" si="19"/>
        <v>0.23335378964707593</v>
      </c>
      <c r="M125" s="115">
        <f>+'Proposed Rates'!B91</f>
        <v>53.26</v>
      </c>
      <c r="N125" s="115">
        <f t="shared" si="20"/>
        <v>53.493353789647074</v>
      </c>
      <c r="O125" s="115">
        <f>+'Proposed Rates'!D91</f>
        <v>53.493353789647074</v>
      </c>
      <c r="P125" s="115">
        <f t="shared" si="21"/>
        <v>2875.1248451661631</v>
      </c>
      <c r="Q125" s="115">
        <f t="shared" si="22"/>
        <v>2887.7219401404022</v>
      </c>
      <c r="R125" s="115">
        <f t="shared" si="23"/>
        <v>12.597094974239099</v>
      </c>
      <c r="S125" s="115">
        <f t="shared" si="24"/>
        <v>2887.7219401404022</v>
      </c>
      <c r="T125" s="115">
        <f t="shared" si="25"/>
        <v>0</v>
      </c>
      <c r="U125" s="114">
        <f t="shared" si="26"/>
        <v>53.493353789647074</v>
      </c>
      <c r="V125" s="114">
        <f t="shared" si="27"/>
        <v>2887.7219401404022</v>
      </c>
      <c r="W125" s="114">
        <f t="shared" si="28"/>
        <v>12.597094974239099</v>
      </c>
      <c r="X125" s="209">
        <f t="shared" si="30"/>
        <v>-2.2915003228263231E-13</v>
      </c>
    </row>
    <row r="126" spans="1:24">
      <c r="A126" s="217"/>
      <c r="B126" s="153">
        <v>29</v>
      </c>
      <c r="C126" s="100" t="s">
        <v>95</v>
      </c>
      <c r="D126" s="101">
        <f>+'Company Regulated Cust Count'!AC155</f>
        <v>0.16666666666666666</v>
      </c>
      <c r="E126" s="113">
        <f>+References!B13</f>
        <v>1</v>
      </c>
      <c r="F126" s="101">
        <f t="shared" si="29"/>
        <v>2</v>
      </c>
      <c r="G126" s="101">
        <f>+References!B35</f>
        <v>613</v>
      </c>
      <c r="H126" s="101">
        <f t="shared" si="18"/>
        <v>1226</v>
      </c>
      <c r="I126" s="101">
        <f t="shared" si="75"/>
        <v>1131.9992241632206</v>
      </c>
      <c r="J126" s="115">
        <f>+I126*References!$C$55</f>
        <v>0.86597940648486571</v>
      </c>
      <c r="K126" s="115">
        <f>+J126/References!$G$58</f>
        <v>0.88299921638060186</v>
      </c>
      <c r="L126" s="115">
        <f t="shared" si="19"/>
        <v>0.44149960819030093</v>
      </c>
      <c r="M126" s="115">
        <f>+'Proposed Rates'!B93</f>
        <v>94.31</v>
      </c>
      <c r="N126" s="115">
        <f t="shared" si="20"/>
        <v>94.751499608190301</v>
      </c>
      <c r="O126" s="115">
        <f>+'Proposed Rates'!D93</f>
        <v>94.751499608190301</v>
      </c>
      <c r="P126" s="115">
        <f t="shared" si="21"/>
        <v>188.62</v>
      </c>
      <c r="Q126" s="115">
        <f t="shared" si="22"/>
        <v>189.5029992163806</v>
      </c>
      <c r="R126" s="115">
        <f t="shared" si="23"/>
        <v>0.88299921638059686</v>
      </c>
      <c r="S126" s="115">
        <f t="shared" si="24"/>
        <v>189.5029992163806</v>
      </c>
      <c r="T126" s="115">
        <f t="shared" si="25"/>
        <v>0</v>
      </c>
      <c r="U126" s="114">
        <f t="shared" si="26"/>
        <v>94.751499608190301</v>
      </c>
      <c r="V126" s="114">
        <f t="shared" si="27"/>
        <v>189.5029992163806</v>
      </c>
      <c r="W126" s="114">
        <f t="shared" si="28"/>
        <v>0.88299921638059686</v>
      </c>
      <c r="X126" s="209">
        <f t="shared" si="30"/>
        <v>-4.9960036108132044E-15</v>
      </c>
    </row>
    <row r="127" spans="1:24">
      <c r="A127" s="217"/>
      <c r="B127" s="153">
        <v>29</v>
      </c>
      <c r="C127" s="100" t="s">
        <v>451</v>
      </c>
      <c r="D127" s="101">
        <f>+'Company Regulated Cust Count'!AC156</f>
        <v>3.25</v>
      </c>
      <c r="E127" s="113">
        <f>+References!B13</f>
        <v>1</v>
      </c>
      <c r="F127" s="101">
        <f t="shared" si="29"/>
        <v>39</v>
      </c>
      <c r="G127" s="101">
        <f>+References!B31</f>
        <v>175</v>
      </c>
      <c r="H127" s="101">
        <f t="shared" si="18"/>
        <v>6825</v>
      </c>
      <c r="I127" s="101">
        <f t="shared" si="75"/>
        <v>6301.708568445335</v>
      </c>
      <c r="J127" s="115">
        <f>+I127*References!$C$55</f>
        <v>4.8208070548606923</v>
      </c>
      <c r="K127" s="115">
        <f>+J127/References!$G$58</f>
        <v>4.9155543652509035</v>
      </c>
      <c r="L127" s="115">
        <f t="shared" si="19"/>
        <v>0.12603985551925392</v>
      </c>
      <c r="M127" s="115">
        <f>+'Proposed Rates'!B81</f>
        <v>29.21</v>
      </c>
      <c r="N127" s="115">
        <f t="shared" si="20"/>
        <v>29.336039855519253</v>
      </c>
      <c r="O127" s="115">
        <f>+'Proposed Rates'!D81</f>
        <v>29.336039855519253</v>
      </c>
      <c r="P127" s="115">
        <f t="shared" si="21"/>
        <v>1139.19</v>
      </c>
      <c r="Q127" s="115">
        <f t="shared" si="22"/>
        <v>1144.1055543652508</v>
      </c>
      <c r="R127" s="115">
        <f t="shared" si="23"/>
        <v>4.9155543652507276</v>
      </c>
      <c r="S127" s="115">
        <f t="shared" si="24"/>
        <v>1144.1055543652508</v>
      </c>
      <c r="T127" s="115">
        <f t="shared" si="25"/>
        <v>0</v>
      </c>
      <c r="U127" s="114">
        <f t="shared" si="26"/>
        <v>29.336039855519253</v>
      </c>
      <c r="V127" s="114">
        <f t="shared" si="27"/>
        <v>1144.1055543652508</v>
      </c>
      <c r="W127" s="114">
        <f t="shared" si="28"/>
        <v>4.9155543652507276</v>
      </c>
      <c r="X127" s="209">
        <f t="shared" si="30"/>
        <v>-1.758593271006248E-13</v>
      </c>
    </row>
    <row r="128" spans="1:24">
      <c r="A128" s="217"/>
      <c r="B128" s="153">
        <v>29</v>
      </c>
      <c r="C128" s="100" t="s">
        <v>453</v>
      </c>
      <c r="D128" s="101">
        <f>+'Company Regulated Cust Count'!AC157</f>
        <v>1.25</v>
      </c>
      <c r="E128" s="113">
        <f>+References!B13</f>
        <v>1</v>
      </c>
      <c r="F128" s="101">
        <f t="shared" si="29"/>
        <v>15</v>
      </c>
      <c r="G128" s="101">
        <f>+References!B32</f>
        <v>250</v>
      </c>
      <c r="H128" s="101">
        <f t="shared" si="18"/>
        <v>3750</v>
      </c>
      <c r="I128" s="101">
        <f t="shared" si="75"/>
        <v>3462.4772354095248</v>
      </c>
      <c r="J128" s="115">
        <f>+I128*References!$C$55</f>
        <v>2.6487950850882926</v>
      </c>
      <c r="K128" s="115">
        <f>+J128/References!$G$58</f>
        <v>2.7008540468411559</v>
      </c>
      <c r="L128" s="115">
        <f t="shared" si="19"/>
        <v>0.18005693645607707</v>
      </c>
      <c r="M128" s="115">
        <f>+'Proposed Rates'!B82</f>
        <v>41.39</v>
      </c>
      <c r="N128" s="115">
        <f t="shared" si="20"/>
        <v>41.570056936456076</v>
      </c>
      <c r="O128" s="115">
        <f>+'Proposed Rates'!D82</f>
        <v>41.570056936456076</v>
      </c>
      <c r="P128" s="115">
        <f t="shared" si="21"/>
        <v>620.85</v>
      </c>
      <c r="Q128" s="115">
        <f t="shared" si="22"/>
        <v>623.5508540468411</v>
      </c>
      <c r="R128" s="115">
        <f t="shared" si="23"/>
        <v>2.7008540468410729</v>
      </c>
      <c r="S128" s="115">
        <f t="shared" si="24"/>
        <v>623.5508540468411</v>
      </c>
      <c r="T128" s="115">
        <f t="shared" si="25"/>
        <v>0</v>
      </c>
      <c r="U128" s="114">
        <f t="shared" si="26"/>
        <v>41.570056936456076</v>
      </c>
      <c r="V128" s="114">
        <f t="shared" si="27"/>
        <v>623.5508540468411</v>
      </c>
      <c r="W128" s="114">
        <f t="shared" si="28"/>
        <v>2.7008540468410729</v>
      </c>
      <c r="X128" s="209">
        <f t="shared" si="30"/>
        <v>-8.3044682241961709E-14</v>
      </c>
    </row>
    <row r="129" spans="1:31">
      <c r="A129" s="217"/>
      <c r="B129" s="153">
        <v>29</v>
      </c>
      <c r="C129" s="100" t="s">
        <v>455</v>
      </c>
      <c r="D129" s="101">
        <f>+'Company Regulated Cust Count'!AC158</f>
        <v>6.25</v>
      </c>
      <c r="E129" s="113">
        <f>+References!B13</f>
        <v>1</v>
      </c>
      <c r="F129" s="101">
        <f t="shared" si="29"/>
        <v>75</v>
      </c>
      <c r="G129" s="101">
        <f>+References!B33</f>
        <v>324</v>
      </c>
      <c r="H129" s="101">
        <f t="shared" si="18"/>
        <v>24300</v>
      </c>
      <c r="I129" s="101">
        <f t="shared" si="75"/>
        <v>22436.852485453721</v>
      </c>
      <c r="J129" s="115">
        <f>+I129*References!$C$55</f>
        <v>17.164192151372138</v>
      </c>
      <c r="K129" s="115">
        <f>+J129/References!$G$58</f>
        <v>17.501534223530694</v>
      </c>
      <c r="L129" s="115">
        <f t="shared" si="19"/>
        <v>0.23335378964707593</v>
      </c>
      <c r="M129" s="115">
        <f>+'Proposed Rates'!B83</f>
        <v>53.26</v>
      </c>
      <c r="N129" s="115">
        <f t="shared" si="20"/>
        <v>53.493353789647074</v>
      </c>
      <c r="O129" s="115">
        <f>+'Proposed Rates'!D83</f>
        <v>53.493353789647074</v>
      </c>
      <c r="P129" s="115">
        <f t="shared" si="21"/>
        <v>3994.5</v>
      </c>
      <c r="Q129" s="115">
        <f t="shared" si="22"/>
        <v>4012.0015342235306</v>
      </c>
      <c r="R129" s="115">
        <f t="shared" si="23"/>
        <v>17.501534223530598</v>
      </c>
      <c r="S129" s="115">
        <f t="shared" si="24"/>
        <v>4012.0015342235306</v>
      </c>
      <c r="T129" s="115">
        <f t="shared" si="25"/>
        <v>0</v>
      </c>
      <c r="U129" s="114">
        <f t="shared" si="26"/>
        <v>53.493353789647074</v>
      </c>
      <c r="V129" s="114">
        <f t="shared" si="27"/>
        <v>4012.0015342235306</v>
      </c>
      <c r="W129" s="114">
        <f t="shared" si="28"/>
        <v>17.501534223530598</v>
      </c>
      <c r="X129" s="209">
        <f t="shared" si="30"/>
        <v>-9.5923269327613525E-14</v>
      </c>
    </row>
    <row r="130" spans="1:31">
      <c r="A130" s="217"/>
      <c r="B130" s="153">
        <v>29</v>
      </c>
      <c r="C130" s="100" t="s">
        <v>457</v>
      </c>
      <c r="D130" s="101">
        <f>+'Company Regulated Cust Count'!AC159</f>
        <v>0.83333333333333337</v>
      </c>
      <c r="E130" s="113">
        <f>+References!B13</f>
        <v>1</v>
      </c>
      <c r="F130" s="101">
        <f t="shared" si="29"/>
        <v>10</v>
      </c>
      <c r="G130" s="101">
        <f>+References!B34</f>
        <v>473</v>
      </c>
      <c r="H130" s="101">
        <f t="shared" si="18"/>
        <v>4730</v>
      </c>
      <c r="I130" s="101">
        <f t="shared" si="75"/>
        <v>4367.3379529298809</v>
      </c>
      <c r="J130" s="115">
        <f>+I130*References!$C$55</f>
        <v>3.3410135339913669</v>
      </c>
      <c r="K130" s="115">
        <f>+J130/References!$G$58</f>
        <v>3.4066772377489785</v>
      </c>
      <c r="L130" s="115">
        <f t="shared" si="19"/>
        <v>0.34066772377489785</v>
      </c>
      <c r="M130" s="115">
        <f>+'Proposed Rates'!B84</f>
        <v>71.599999999999994</v>
      </c>
      <c r="N130" s="115">
        <f t="shared" si="20"/>
        <v>71.940667723774894</v>
      </c>
      <c r="O130" s="115">
        <f>+'Proposed Rates'!D84</f>
        <v>71.940667723774894</v>
      </c>
      <c r="P130" s="115">
        <f t="shared" si="21"/>
        <v>716</v>
      </c>
      <c r="Q130" s="115">
        <f t="shared" si="22"/>
        <v>719.40667723774891</v>
      </c>
      <c r="R130" s="115">
        <f t="shared" si="23"/>
        <v>3.4066772377489087</v>
      </c>
      <c r="S130" s="115">
        <f t="shared" si="24"/>
        <v>719.40667723774891</v>
      </c>
      <c r="T130" s="115">
        <f t="shared" si="25"/>
        <v>0</v>
      </c>
      <c r="U130" s="114">
        <f t="shared" si="26"/>
        <v>71.940667723774894</v>
      </c>
      <c r="V130" s="114">
        <f t="shared" si="27"/>
        <v>719.40667723774891</v>
      </c>
      <c r="W130" s="114">
        <f t="shared" si="28"/>
        <v>3.4066772377489087</v>
      </c>
      <c r="X130" s="209">
        <f t="shared" si="30"/>
        <v>-6.9722005946459831E-14</v>
      </c>
    </row>
    <row r="131" spans="1:31">
      <c r="A131" s="217"/>
      <c r="B131" s="153">
        <v>29</v>
      </c>
      <c r="C131" s="100" t="s">
        <v>459</v>
      </c>
      <c r="D131" s="101">
        <f>+'Company Regulated Cust Count'!AC160</f>
        <v>1.4984798378493707</v>
      </c>
      <c r="E131" s="113">
        <f>+References!B13</f>
        <v>1</v>
      </c>
      <c r="F131" s="101">
        <f t="shared" si="29"/>
        <v>17.981758054192447</v>
      </c>
      <c r="G131" s="101">
        <f>+References!B35</f>
        <v>613</v>
      </c>
      <c r="H131" s="101">
        <f t="shared" si="18"/>
        <v>11022.817687219969</v>
      </c>
      <c r="I131" s="101">
        <f t="shared" si="75"/>
        <v>10177.668083218296</v>
      </c>
      <c r="J131" s="115">
        <f>+I131*References!$C$55</f>
        <v>7.7859160836620145</v>
      </c>
      <c r="K131" s="115">
        <f>+J131/References!$G$58</f>
        <v>7.9389391354987531</v>
      </c>
      <c r="L131" s="115">
        <f t="shared" si="19"/>
        <v>0.44149960819030093</v>
      </c>
      <c r="M131" s="115">
        <f>+'Proposed Rates'!B85</f>
        <v>94.31</v>
      </c>
      <c r="N131" s="115">
        <f t="shared" si="20"/>
        <v>94.751499608190301</v>
      </c>
      <c r="O131" s="115">
        <f>+'Proposed Rates'!D85</f>
        <v>94.751499608190301</v>
      </c>
      <c r="P131" s="115">
        <f t="shared" si="21"/>
        <v>1695.8596020908897</v>
      </c>
      <c r="Q131" s="115">
        <f t="shared" si="22"/>
        <v>1703.7985412263884</v>
      </c>
      <c r="R131" s="115">
        <f t="shared" si="23"/>
        <v>7.9389391354986856</v>
      </c>
      <c r="S131" s="115">
        <f t="shared" si="24"/>
        <v>1703.7985412263884</v>
      </c>
      <c r="T131" s="115">
        <f t="shared" si="25"/>
        <v>0</v>
      </c>
      <c r="U131" s="114">
        <f t="shared" si="26"/>
        <v>94.751499608190301</v>
      </c>
      <c r="V131" s="114">
        <f t="shared" si="27"/>
        <v>1703.7985412263884</v>
      </c>
      <c r="W131" s="114">
        <f t="shared" si="28"/>
        <v>7.9389391354986856</v>
      </c>
      <c r="X131" s="209">
        <f t="shared" si="30"/>
        <v>-6.7501559897209518E-14</v>
      </c>
    </row>
    <row r="132" spans="1:31">
      <c r="A132" s="217"/>
      <c r="B132" s="153">
        <v>29</v>
      </c>
      <c r="C132" s="100" t="s">
        <v>461</v>
      </c>
      <c r="D132" s="101">
        <f>+'Company Regulated Cust Count'!AC161</f>
        <v>0.66666666666666663</v>
      </c>
      <c r="E132" s="113">
        <f>+References!B13</f>
        <v>1</v>
      </c>
      <c r="F132" s="101">
        <f t="shared" si="29"/>
        <v>8</v>
      </c>
      <c r="G132" s="101">
        <f>+References!B36</f>
        <v>840</v>
      </c>
      <c r="H132" s="101">
        <f t="shared" si="18"/>
        <v>6720</v>
      </c>
      <c r="I132" s="101">
        <f t="shared" si="75"/>
        <v>6204.7592058538685</v>
      </c>
      <c r="J132" s="115">
        <f>+I132*References!$C$55</f>
        <v>4.7466407924782201</v>
      </c>
      <c r="K132" s="115">
        <f>+J132/References!$G$58</f>
        <v>4.8399304519393516</v>
      </c>
      <c r="L132" s="115">
        <f t="shared" si="19"/>
        <v>0.60499130649241895</v>
      </c>
      <c r="M132" s="115">
        <f>+'Proposed Rates'!B86</f>
        <v>122.73</v>
      </c>
      <c r="N132" s="115">
        <f t="shared" si="20"/>
        <v>123.33499130649243</v>
      </c>
      <c r="O132" s="115">
        <f>+'Proposed Rates'!D86</f>
        <v>123.33499130649243</v>
      </c>
      <c r="P132" s="115">
        <f t="shared" si="21"/>
        <v>981.84</v>
      </c>
      <c r="Q132" s="115">
        <f t="shared" si="22"/>
        <v>986.67993045193941</v>
      </c>
      <c r="R132" s="115">
        <f t="shared" si="23"/>
        <v>4.8399304519393809</v>
      </c>
      <c r="S132" s="115">
        <f t="shared" si="24"/>
        <v>986.67993045193941</v>
      </c>
      <c r="T132" s="115">
        <f t="shared" si="25"/>
        <v>0</v>
      </c>
      <c r="U132" s="114">
        <f t="shared" si="26"/>
        <v>123.33499130649243</v>
      </c>
      <c r="V132" s="114">
        <f t="shared" si="27"/>
        <v>986.67993045193941</v>
      </c>
      <c r="W132" s="114">
        <f t="shared" si="28"/>
        <v>4.8399304519393809</v>
      </c>
      <c r="X132" s="209">
        <f t="shared" si="30"/>
        <v>2.9309887850104133E-14</v>
      </c>
    </row>
    <row r="133" spans="1:31">
      <c r="A133" s="217"/>
      <c r="B133" s="153">
        <v>29</v>
      </c>
      <c r="C133" s="100" t="s">
        <v>463</v>
      </c>
      <c r="D133" s="101">
        <f>+'Company Regulated Cust Count'!AC162</f>
        <v>0.16666666666666666</v>
      </c>
      <c r="E133" s="113">
        <f>+References!B13</f>
        <v>1</v>
      </c>
      <c r="F133" s="101">
        <f t="shared" si="29"/>
        <v>2</v>
      </c>
      <c r="G133" s="101">
        <f>+References!B37</f>
        <v>980</v>
      </c>
      <c r="H133" s="101">
        <f t="shared" si="18"/>
        <v>1960</v>
      </c>
      <c r="I133" s="101">
        <f t="shared" si="75"/>
        <v>1809.7214350407116</v>
      </c>
      <c r="J133" s="115">
        <f>+I133*References!$C$55</f>
        <v>1.3844368978061476</v>
      </c>
      <c r="K133" s="115">
        <f>+J133/References!$G$58</f>
        <v>1.4116463818156442</v>
      </c>
      <c r="L133" s="115">
        <f t="shared" si="19"/>
        <v>0.70582319090782208</v>
      </c>
      <c r="M133" s="115">
        <f>+'Proposed Rates'!B87</f>
        <v>161.53</v>
      </c>
      <c r="N133" s="115">
        <f t="shared" si="20"/>
        <v>162.23582319090784</v>
      </c>
      <c r="O133" s="115">
        <f>+'Proposed Rates'!D87</f>
        <v>162.23582319090784</v>
      </c>
      <c r="P133" s="115">
        <f t="shared" si="21"/>
        <v>323.06</v>
      </c>
      <c r="Q133" s="115">
        <f t="shared" si="22"/>
        <v>324.47164638181567</v>
      </c>
      <c r="R133" s="115">
        <f t="shared" si="23"/>
        <v>1.4116463818156717</v>
      </c>
      <c r="S133" s="115">
        <f t="shared" si="24"/>
        <v>324.47164638181567</v>
      </c>
      <c r="T133" s="115">
        <f t="shared" si="25"/>
        <v>0</v>
      </c>
      <c r="U133" s="114">
        <f t="shared" si="26"/>
        <v>162.23582319090784</v>
      </c>
      <c r="V133" s="114">
        <f t="shared" si="27"/>
        <v>324.47164638181567</v>
      </c>
      <c r="W133" s="114">
        <f t="shared" si="28"/>
        <v>1.4116463818156717</v>
      </c>
      <c r="X133" s="209">
        <f t="shared" si="30"/>
        <v>2.7533531010703882E-14</v>
      </c>
    </row>
    <row r="134" spans="1:31">
      <c r="A134" s="217"/>
      <c r="B134" s="153">
        <v>30</v>
      </c>
      <c r="C134" s="100" t="s">
        <v>465</v>
      </c>
      <c r="D134" s="101">
        <f>+'Company Regulated Cust Count'!AC163</f>
        <v>227.04779151575701</v>
      </c>
      <c r="E134" s="113">
        <f>+References!B13</f>
        <v>1</v>
      </c>
      <c r="F134" s="101">
        <f t="shared" ref="F134:F136" si="76">+D134*E134*12</f>
        <v>2724.5734981890841</v>
      </c>
      <c r="G134" s="101">
        <f>+References!B30</f>
        <v>29</v>
      </c>
      <c r="H134" s="101">
        <f t="shared" ref="H134" si="77">+F134*G134</f>
        <v>79012.631447483436</v>
      </c>
      <c r="I134" s="101">
        <f t="shared" si="75"/>
        <v>72954.516719123771</v>
      </c>
      <c r="J134" s="115">
        <f>+I134*References!$C$55</f>
        <v>55.810205290129815</v>
      </c>
      <c r="K134" s="115">
        <f>+J134/References!$G$58</f>
        <v>56.907089439067853</v>
      </c>
      <c r="L134" s="115">
        <f t="shared" ref="L134" si="78">+K134/F134</f>
        <v>2.0886604628904942E-2</v>
      </c>
      <c r="M134" s="115">
        <f>+'Proposed Rates'!B98</f>
        <v>3.17</v>
      </c>
      <c r="N134" s="115">
        <f t="shared" ref="N134" si="79">+L134+M134</f>
        <v>3.1908866046289051</v>
      </c>
      <c r="O134" s="115">
        <f>+'Proposed Rates'!D98</f>
        <v>3.1908866046289051</v>
      </c>
      <c r="P134" s="115">
        <f t="shared" si="21"/>
        <v>8636.8979892593961</v>
      </c>
      <c r="Q134" s="115">
        <f t="shared" si="22"/>
        <v>8693.8050786984641</v>
      </c>
      <c r="R134" s="115">
        <f t="shared" ref="R134" si="80">+Q134-P134</f>
        <v>56.907089439067931</v>
      </c>
      <c r="S134" s="115">
        <f t="shared" si="24"/>
        <v>8693.8050786984641</v>
      </c>
      <c r="T134" s="115">
        <f t="shared" ref="T134" si="81">+Q134-S134</f>
        <v>0</v>
      </c>
      <c r="U134" s="114">
        <f t="shared" ref="U134" si="82">+N134</f>
        <v>3.1908866046289051</v>
      </c>
      <c r="V134" s="114">
        <f t="shared" si="27"/>
        <v>8693.8050786984641</v>
      </c>
      <c r="W134" s="114">
        <f t="shared" ref="W134" si="83">+V134-P134</f>
        <v>56.907089439067931</v>
      </c>
      <c r="X134" s="209">
        <f t="shared" si="30"/>
        <v>7.815970093361102E-14</v>
      </c>
    </row>
    <row r="135" spans="1:31">
      <c r="A135" s="217"/>
      <c r="B135" s="153">
        <v>22</v>
      </c>
      <c r="C135" s="100" t="s">
        <v>467</v>
      </c>
      <c r="D135" s="101">
        <f>+'Company Regulated Cust Count'!AC164</f>
        <v>6.1450687223292606</v>
      </c>
      <c r="E135" s="113">
        <f>+References!B13</f>
        <v>1</v>
      </c>
      <c r="F135" s="101">
        <f t="shared" si="76"/>
        <v>73.740824667951131</v>
      </c>
      <c r="G135" s="101">
        <f>+References!B46</f>
        <v>125</v>
      </c>
      <c r="H135" s="101">
        <f t="shared" ref="H135:H136" si="84">+F135*G135</f>
        <v>9217.603083493892</v>
      </c>
      <c r="I135" s="101">
        <f t="shared" ref="I135:I136" si="85">+H135*$D$165</f>
        <v>8510.8642244368639</v>
      </c>
      <c r="J135" s="115">
        <f>+I135*References!$C$55</f>
        <v>6.5108111316942159</v>
      </c>
      <c r="K135" s="115">
        <f>+J135/References!$G$58</f>
        <v>6.6387734907279983</v>
      </c>
      <c r="L135" s="115">
        <f t="shared" ref="L135:L136" si="86">+K135/F135</f>
        <v>9.0028468228038533E-2</v>
      </c>
      <c r="M135" s="115">
        <f>+'Proposed Rates'!B51</f>
        <v>13.08</v>
      </c>
      <c r="N135" s="115">
        <f t="shared" ref="N135:N136" si="87">+L135+M135</f>
        <v>13.170028468228038</v>
      </c>
      <c r="O135" s="115">
        <f>+'Proposed Rates'!D51</f>
        <v>13.170028468228038</v>
      </c>
      <c r="P135" s="115">
        <f t="shared" si="21"/>
        <v>964.52998665680082</v>
      </c>
      <c r="Q135" s="115">
        <f t="shared" si="22"/>
        <v>971.1687601475287</v>
      </c>
      <c r="R135" s="115">
        <f t="shared" ref="R135:R136" si="88">+Q135-P135</f>
        <v>6.6387734907278855</v>
      </c>
      <c r="S135" s="115">
        <f t="shared" si="24"/>
        <v>971.1687601475287</v>
      </c>
      <c r="T135" s="115">
        <f t="shared" ref="T135:T136" si="89">+Q135-S135</f>
        <v>0</v>
      </c>
      <c r="U135" s="114">
        <f t="shared" ref="U135:U136" si="90">+N135</f>
        <v>13.170028468228038</v>
      </c>
      <c r="V135" s="114">
        <f t="shared" si="27"/>
        <v>971.1687601475287</v>
      </c>
      <c r="W135" s="114">
        <f t="shared" ref="W135:W136" si="91">+V135-P135</f>
        <v>6.6387734907278855</v>
      </c>
      <c r="X135" s="209">
        <f t="shared" si="30"/>
        <v>-1.127986593019159E-13</v>
      </c>
    </row>
    <row r="136" spans="1:31">
      <c r="A136" s="217"/>
      <c r="B136" s="153">
        <v>30</v>
      </c>
      <c r="C136" s="100" t="s">
        <v>471</v>
      </c>
      <c r="D136" s="101">
        <f>+'Company Regulated Cust Count'!AC166</f>
        <v>791.12724867724864</v>
      </c>
      <c r="E136" s="113">
        <f>+References!B13</f>
        <v>1</v>
      </c>
      <c r="F136" s="101">
        <f t="shared" si="76"/>
        <v>9493.5269841269837</v>
      </c>
      <c r="G136" s="101">
        <f>+References!B30</f>
        <v>29</v>
      </c>
      <c r="H136" s="101">
        <f t="shared" si="84"/>
        <v>275312.28253968252</v>
      </c>
      <c r="I136" s="101">
        <f t="shared" si="85"/>
        <v>254203.33624594292</v>
      </c>
      <c r="J136" s="115">
        <f>+I136*References!$C$55</f>
        <v>194.46555222814678</v>
      </c>
      <c r="K136" s="115">
        <f>+J136/References!$G$58</f>
        <v>198.28754465130061</v>
      </c>
      <c r="L136" s="115">
        <f t="shared" si="86"/>
        <v>2.0886604628904938E-2</v>
      </c>
      <c r="M136" s="115">
        <f>+'Proposed Rates'!B98</f>
        <v>3.17</v>
      </c>
      <c r="N136" s="115">
        <f t="shared" si="87"/>
        <v>3.1908866046289051</v>
      </c>
      <c r="O136" s="115">
        <f>+'Proposed Rates'!D98</f>
        <v>3.1908866046289051</v>
      </c>
      <c r="P136" s="115">
        <f t="shared" ref="P136" si="92">+F136*M136</f>
        <v>30094.48053968254</v>
      </c>
      <c r="Q136" s="115">
        <f t="shared" ref="Q136" si="93">+F136*O136</f>
        <v>30292.768084333838</v>
      </c>
      <c r="R136" s="115">
        <f t="shared" si="88"/>
        <v>198.28754465129896</v>
      </c>
      <c r="S136" s="115">
        <f t="shared" ref="S136" si="94">+F136*N136</f>
        <v>30292.768084333838</v>
      </c>
      <c r="T136" s="115">
        <f t="shared" si="89"/>
        <v>0</v>
      </c>
      <c r="U136" s="114">
        <f t="shared" si="90"/>
        <v>3.1908866046289051</v>
      </c>
      <c r="V136" s="114">
        <f t="shared" ref="V136" si="95">+F136*U136</f>
        <v>30292.768084333838</v>
      </c>
      <c r="W136" s="114">
        <f t="shared" si="91"/>
        <v>198.28754465129896</v>
      </c>
      <c r="X136" s="209">
        <f t="shared" ref="X136:X138" si="96">W136-K136</f>
        <v>-1.6484591469634324E-12</v>
      </c>
    </row>
    <row r="137" spans="1:31">
      <c r="A137" s="217"/>
      <c r="B137" s="153"/>
      <c r="U137" s="114"/>
      <c r="V137" s="114"/>
      <c r="W137" s="114"/>
      <c r="X137" s="209">
        <f t="shared" si="96"/>
        <v>0</v>
      </c>
    </row>
    <row r="138" spans="1:31">
      <c r="A138" s="217"/>
      <c r="B138" s="153"/>
      <c r="U138" s="114"/>
      <c r="V138" s="114"/>
      <c r="W138" s="114"/>
      <c r="X138" s="209">
        <f t="shared" si="96"/>
        <v>0</v>
      </c>
    </row>
    <row r="139" spans="1:31">
      <c r="A139" s="143"/>
      <c r="B139" s="141"/>
      <c r="C139" s="140" t="s">
        <v>15</v>
      </c>
      <c r="D139" s="102">
        <f>SUM(D61:D138)</f>
        <v>2299.7679049633798</v>
      </c>
      <c r="E139" s="106"/>
      <c r="F139" s="102">
        <f>SUM(F61:F138)</f>
        <v>51179.007962923541</v>
      </c>
      <c r="G139" s="145"/>
      <c r="H139" s="102">
        <f>SUM(H61:H138)</f>
        <v>6797519.3818894969</v>
      </c>
      <c r="I139" s="102">
        <f>SUM(I61:I138)</f>
        <v>6276334.9645459754</v>
      </c>
      <c r="J139" s="99"/>
      <c r="K139" s="99"/>
      <c r="L139" s="109"/>
      <c r="M139" s="109"/>
      <c r="N139" s="109"/>
      <c r="O139" s="109"/>
      <c r="P139" s="99">
        <f>SUM(P61:P138)</f>
        <v>852119.34245735325</v>
      </c>
      <c r="Q139" s="99">
        <f>SUM(Q61:Q138)</f>
        <v>857015.10451896838</v>
      </c>
      <c r="R139" s="99">
        <f>SUM(R61:R138)</f>
        <v>4895.7620616152926</v>
      </c>
      <c r="S139" s="99">
        <f>SUM(S61:S138)</f>
        <v>857015.10451896838</v>
      </c>
      <c r="T139" s="99">
        <f>SUM(T61:T138)</f>
        <v>0</v>
      </c>
      <c r="U139" s="99"/>
      <c r="V139" s="99">
        <f>SUM(V61:V138)</f>
        <v>857015.10451896838</v>
      </c>
      <c r="W139" s="99">
        <f>SUM(W61:W138)</f>
        <v>4895.7620616152926</v>
      </c>
      <c r="X139" s="209"/>
    </row>
    <row r="140" spans="1:31">
      <c r="C140" s="142" t="s">
        <v>2</v>
      </c>
      <c r="D140" s="147">
        <f>+D60+D139</f>
        <v>8764.8411038800987</v>
      </c>
      <c r="F140" s="147">
        <f>+F60+F139</f>
        <v>268667.68373168848</v>
      </c>
      <c r="H140" s="147">
        <f>+H60+H139</f>
        <v>16269677.987504624</v>
      </c>
      <c r="I140" s="147">
        <f>+I60+I139</f>
        <v>15022237.242447518</v>
      </c>
      <c r="P140" s="121">
        <f>+P60+P139</f>
        <v>2157569.8438734105</v>
      </c>
      <c r="Q140" s="121">
        <f>+Q60+Q139</f>
        <v>2169287.717375638</v>
      </c>
      <c r="R140" s="121">
        <f>+R60+R139</f>
        <v>11717.873502227849</v>
      </c>
      <c r="S140" s="121">
        <f>+S60+S139</f>
        <v>2169287.717375638</v>
      </c>
      <c r="T140" s="121">
        <f>+T60+T139</f>
        <v>0</v>
      </c>
      <c r="U140" s="121"/>
      <c r="V140" s="121">
        <f>+V60+V139</f>
        <v>2169287.717375638</v>
      </c>
      <c r="W140" s="121">
        <f>+W60+W139</f>
        <v>11717.873502227849</v>
      </c>
      <c r="X140" s="209"/>
    </row>
    <row r="142" spans="1:31">
      <c r="Z142" s="112"/>
      <c r="AE142" s="100"/>
    </row>
    <row r="143" spans="1:31" ht="15" customHeight="1">
      <c r="A143" s="126"/>
      <c r="B143" s="111"/>
      <c r="C143" s="117" t="s">
        <v>92</v>
      </c>
      <c r="D143" s="148"/>
      <c r="E143" s="98"/>
      <c r="F143" s="108"/>
      <c r="G143" s="108"/>
      <c r="H143" s="108"/>
      <c r="I143" s="108"/>
      <c r="J143" s="152"/>
      <c r="K143" s="152"/>
      <c r="L143" s="152"/>
      <c r="M143" s="152"/>
      <c r="N143" s="152"/>
      <c r="O143" s="152"/>
      <c r="Q143" s="115" t="s">
        <v>12</v>
      </c>
      <c r="R143" s="115">
        <f>+R60</f>
        <v>6822.1114406125571</v>
      </c>
      <c r="S143" s="210">
        <f>+R60/P60</f>
        <v>5.225867570782982E-3</v>
      </c>
      <c r="Z143" s="112"/>
      <c r="AE143" s="100"/>
    </row>
    <row r="144" spans="1:31">
      <c r="A144" s="217" t="s">
        <v>12</v>
      </c>
      <c r="B144" s="153">
        <v>20</v>
      </c>
      <c r="C144" s="135" t="s">
        <v>105</v>
      </c>
      <c r="D144" s="97">
        <v>0</v>
      </c>
      <c r="E144" s="116">
        <f>+References!B11</f>
        <v>4.333333333333333</v>
      </c>
      <c r="F144" s="107">
        <v>12</v>
      </c>
      <c r="G144" s="107">
        <f>+References!B21</f>
        <v>97</v>
      </c>
      <c r="H144" s="107">
        <f>+E144*F144*G144</f>
        <v>5044</v>
      </c>
      <c r="I144" s="107">
        <f t="shared" ref="I144:I152" si="97">+H144*$D$165</f>
        <v>4657.2627134415052</v>
      </c>
      <c r="J144" s="105">
        <f>+I144*References!$C$55</f>
        <v>3.5628059757827599</v>
      </c>
      <c r="K144" s="105">
        <f>+J144/References!$G$58</f>
        <v>3.6328287499378114</v>
      </c>
      <c r="L144" s="105">
        <f t="shared" ref="L144:L152" si="98">+K144/F144</f>
        <v>0.30273572916148428</v>
      </c>
      <c r="M144" s="105">
        <f>+'Proposed Rates'!B33</f>
        <v>41.4</v>
      </c>
      <c r="N144" s="105">
        <f t="shared" ref="N144:N152" si="99">+L144+M144</f>
        <v>41.702735729161482</v>
      </c>
      <c r="O144" s="105">
        <f>+'Proposed Rates'!D33</f>
        <v>41.702735729161482</v>
      </c>
      <c r="Q144" s="115" t="s">
        <v>13</v>
      </c>
      <c r="R144" s="115">
        <f>+R139</f>
        <v>4895.7620616152926</v>
      </c>
      <c r="S144" s="210">
        <f>+R139/P139</f>
        <v>5.7453948263829196E-3</v>
      </c>
      <c r="Z144" s="112"/>
      <c r="AE144" s="100"/>
    </row>
    <row r="145" spans="1:31" s="130" customFormat="1">
      <c r="A145" s="217"/>
      <c r="B145" s="153">
        <v>20</v>
      </c>
      <c r="C145" s="135" t="s">
        <v>106</v>
      </c>
      <c r="D145" s="97">
        <v>0</v>
      </c>
      <c r="E145" s="116">
        <f>+References!B11</f>
        <v>4.333333333333333</v>
      </c>
      <c r="F145" s="107">
        <v>12</v>
      </c>
      <c r="G145" s="107">
        <f>+References!B22</f>
        <v>117</v>
      </c>
      <c r="H145" s="107">
        <f t="shared" ref="H145:H146" si="100">+E145*F145*G145</f>
        <v>6084</v>
      </c>
      <c r="I145" s="107">
        <f t="shared" si="97"/>
        <v>5617.5230667284131</v>
      </c>
      <c r="J145" s="105">
        <f>+I145*References!$C$55</f>
        <v>4.2974051460472458</v>
      </c>
      <c r="K145" s="105">
        <f>+J145/References!$G$58</f>
        <v>4.3818656055950918</v>
      </c>
      <c r="L145" s="105">
        <f t="shared" si="98"/>
        <v>0.36515546713292429</v>
      </c>
      <c r="M145" s="105">
        <f>+'Proposed Rates'!B34</f>
        <v>49.82</v>
      </c>
      <c r="N145" s="105">
        <f t="shared" si="99"/>
        <v>50.185155467132923</v>
      </c>
      <c r="O145" s="105">
        <f>+'Proposed Rates'!D34</f>
        <v>50.185155467132923</v>
      </c>
      <c r="P145" s="115"/>
      <c r="Q145" s="115" t="s">
        <v>15</v>
      </c>
      <c r="R145" s="104">
        <f>SUM(R143:R144)</f>
        <v>11717.873502227849</v>
      </c>
      <c r="S145" s="211"/>
      <c r="T145" s="115"/>
      <c r="U145" s="115"/>
      <c r="V145" s="115"/>
      <c r="W145" s="115"/>
      <c r="Z145" s="112"/>
      <c r="AA145" s="112"/>
      <c r="AB145" s="112"/>
      <c r="AC145" s="112"/>
      <c r="AD145" s="112"/>
    </row>
    <row r="146" spans="1:31" s="130" customFormat="1">
      <c r="A146" s="217"/>
      <c r="B146" s="153">
        <v>20</v>
      </c>
      <c r="C146" s="135" t="s">
        <v>595</v>
      </c>
      <c r="D146" s="97">
        <v>0</v>
      </c>
      <c r="E146" s="116">
        <f>+References!B11</f>
        <v>4.333333333333333</v>
      </c>
      <c r="F146" s="107">
        <v>12</v>
      </c>
      <c r="G146" s="107">
        <f>+References!B22</f>
        <v>117</v>
      </c>
      <c r="H146" s="107">
        <f t="shared" si="100"/>
        <v>6084</v>
      </c>
      <c r="I146" s="107">
        <f t="shared" si="97"/>
        <v>5617.5230667284131</v>
      </c>
      <c r="J146" s="105">
        <f>+I146*References!$C$55</f>
        <v>4.2974051460472458</v>
      </c>
      <c r="K146" s="105">
        <f>+J146/References!$G$58</f>
        <v>4.3818656055950918</v>
      </c>
      <c r="L146" s="105">
        <f t="shared" si="98"/>
        <v>0.36515546713292429</v>
      </c>
      <c r="M146" s="105">
        <f>+'Proposed Rates'!B18</f>
        <v>51.82</v>
      </c>
      <c r="N146" s="105">
        <f t="shared" si="99"/>
        <v>52.185155467132923</v>
      </c>
      <c r="O146" s="105">
        <f>+'Proposed Rates'!D18</f>
        <v>52.185155467132923</v>
      </c>
      <c r="P146" s="115"/>
      <c r="Q146" s="115"/>
      <c r="R146" s="115"/>
      <c r="S146" s="211"/>
      <c r="T146" s="115"/>
      <c r="U146" s="115"/>
      <c r="V146" s="115"/>
      <c r="W146" s="115"/>
      <c r="Z146" s="112"/>
      <c r="AA146" s="112"/>
      <c r="AB146" s="112"/>
      <c r="AC146" s="112"/>
      <c r="AD146" s="112"/>
    </row>
    <row r="147" spans="1:31" s="130" customFormat="1">
      <c r="A147" s="217"/>
      <c r="B147" s="153">
        <v>21</v>
      </c>
      <c r="C147" s="135" t="s">
        <v>98</v>
      </c>
      <c r="D147" s="97">
        <v>0</v>
      </c>
      <c r="E147" s="116">
        <f>+References!B13</f>
        <v>1</v>
      </c>
      <c r="F147" s="107">
        <f t="shared" ref="F147:F152" si="101">+E147*12</f>
        <v>12</v>
      </c>
      <c r="G147" s="107">
        <f>+References!B18</f>
        <v>34</v>
      </c>
      <c r="H147" s="107">
        <f t="shared" ref="H147:H152" si="102">+F147*G147</f>
        <v>408</v>
      </c>
      <c r="I147" s="107">
        <f t="shared" si="97"/>
        <v>376.71752321255633</v>
      </c>
      <c r="J147" s="105">
        <f>+I147*References!$C$55</f>
        <v>0.28818890525760626</v>
      </c>
      <c r="K147" s="105">
        <f>+J147/References!$G$58</f>
        <v>0.29385292029631782</v>
      </c>
      <c r="L147" s="105">
        <f t="shared" si="98"/>
        <v>2.4487743358026486E-2</v>
      </c>
      <c r="M147" s="105">
        <f>+'Proposed Rates'!B47</f>
        <v>5.04</v>
      </c>
      <c r="N147" s="105">
        <f t="shared" si="99"/>
        <v>5.0644877433580264</v>
      </c>
      <c r="O147" s="105">
        <f>+'Proposed Rates'!D47</f>
        <v>5.0644877433580264</v>
      </c>
      <c r="P147" s="115"/>
      <c r="Q147" s="162" t="s">
        <v>570</v>
      </c>
      <c r="R147" s="115">
        <f>+'Disposal Schedule'!G21*'Disposal Schedule'!C35*References!B55</f>
        <v>4984.0630621380833</v>
      </c>
      <c r="S147" s="210">
        <f>+References!D55</f>
        <v>1.6071428571428584E-2</v>
      </c>
      <c r="T147" s="115"/>
      <c r="U147" s="115"/>
      <c r="V147" s="115"/>
      <c r="W147" s="115"/>
      <c r="Z147" s="112"/>
      <c r="AA147" s="112"/>
      <c r="AB147" s="112"/>
      <c r="AC147" s="112"/>
      <c r="AD147" s="112"/>
    </row>
    <row r="148" spans="1:31" s="130" customFormat="1">
      <c r="A148" s="217"/>
      <c r="B148" s="153">
        <v>22</v>
      </c>
      <c r="C148" s="135" t="s">
        <v>122</v>
      </c>
      <c r="D148" s="97">
        <v>0</v>
      </c>
      <c r="E148" s="116">
        <f>+References!B13</f>
        <v>1</v>
      </c>
      <c r="F148" s="107">
        <f t="shared" si="101"/>
        <v>12</v>
      </c>
      <c r="G148" s="107">
        <f>+References!B46</f>
        <v>125</v>
      </c>
      <c r="H148" s="107">
        <f t="shared" si="102"/>
        <v>1500</v>
      </c>
      <c r="I148" s="107">
        <f t="shared" si="97"/>
        <v>1384.99089416381</v>
      </c>
      <c r="J148" s="105">
        <f>+I148*References!$C$55</f>
        <v>1.0595180340353172</v>
      </c>
      <c r="K148" s="105">
        <f>+J148/References!$G$58</f>
        <v>1.0803416187364625</v>
      </c>
      <c r="L148" s="105">
        <f t="shared" si="98"/>
        <v>9.0028468228038547E-2</v>
      </c>
      <c r="M148" s="105">
        <f>+'Proposed Rates'!B52</f>
        <v>9.11</v>
      </c>
      <c r="N148" s="105">
        <f t="shared" si="99"/>
        <v>9.2000284682280373</v>
      </c>
      <c r="O148" s="105">
        <f>+'Proposed Rates'!D52</f>
        <v>9.2000284682280373</v>
      </c>
      <c r="P148" s="115"/>
      <c r="Q148" s="115"/>
      <c r="R148" s="115"/>
      <c r="S148" s="115"/>
      <c r="T148" s="115"/>
      <c r="U148" s="115"/>
      <c r="V148" s="115"/>
      <c r="W148" s="115"/>
      <c r="Z148" s="112"/>
      <c r="AA148" s="112"/>
      <c r="AB148" s="112"/>
      <c r="AC148" s="112"/>
      <c r="AD148" s="112"/>
    </row>
    <row r="149" spans="1:31" s="130" customFormat="1">
      <c r="A149" s="217"/>
      <c r="B149" s="153">
        <v>22</v>
      </c>
      <c r="C149" s="135" t="s">
        <v>123</v>
      </c>
      <c r="D149" s="97">
        <v>0</v>
      </c>
      <c r="E149" s="116">
        <f>+References!B13</f>
        <v>1</v>
      </c>
      <c r="F149" s="107">
        <f t="shared" si="101"/>
        <v>12</v>
      </c>
      <c r="G149" s="107">
        <f>+References!B46</f>
        <v>125</v>
      </c>
      <c r="H149" s="107">
        <f t="shared" si="102"/>
        <v>1500</v>
      </c>
      <c r="I149" s="107">
        <f t="shared" si="97"/>
        <v>1384.99089416381</v>
      </c>
      <c r="J149" s="105">
        <f>+I149*References!$C$55</f>
        <v>1.0595180340353172</v>
      </c>
      <c r="K149" s="105">
        <f>+J149/References!$G$58</f>
        <v>1.0803416187364625</v>
      </c>
      <c r="L149" s="105">
        <f t="shared" si="98"/>
        <v>9.0028468228038547E-2</v>
      </c>
      <c r="M149" s="105">
        <f>+'Proposed Rates'!B53</f>
        <v>13.08</v>
      </c>
      <c r="N149" s="105">
        <f t="shared" si="99"/>
        <v>13.170028468228038</v>
      </c>
      <c r="O149" s="105">
        <f>+'Proposed Rates'!D53</f>
        <v>13.170028468228038</v>
      </c>
      <c r="P149" s="115"/>
      <c r="Q149" s="115"/>
      <c r="R149" s="115"/>
      <c r="S149" s="115"/>
      <c r="T149" s="115"/>
      <c r="U149" s="115"/>
      <c r="V149" s="115"/>
      <c r="W149" s="115"/>
      <c r="Z149" s="112"/>
      <c r="AA149" s="112"/>
      <c r="AB149" s="112"/>
      <c r="AC149" s="112"/>
      <c r="AD149" s="112"/>
    </row>
    <row r="150" spans="1:31" s="130" customFormat="1">
      <c r="A150" s="217"/>
      <c r="B150" s="153">
        <v>22</v>
      </c>
      <c r="C150" s="135" t="s">
        <v>125</v>
      </c>
      <c r="D150" s="97">
        <v>0</v>
      </c>
      <c r="E150" s="116">
        <f>+References!B13</f>
        <v>1</v>
      </c>
      <c r="F150" s="107">
        <f t="shared" si="101"/>
        <v>12</v>
      </c>
      <c r="G150" s="107">
        <f>+References!B46</f>
        <v>125</v>
      </c>
      <c r="H150" s="107">
        <f t="shared" si="102"/>
        <v>1500</v>
      </c>
      <c r="I150" s="107">
        <f t="shared" si="97"/>
        <v>1384.99089416381</v>
      </c>
      <c r="J150" s="105">
        <f>+I150*References!$C$55</f>
        <v>1.0595180340353172</v>
      </c>
      <c r="K150" s="105">
        <f>+J150/References!$G$58</f>
        <v>1.0803416187364625</v>
      </c>
      <c r="L150" s="105">
        <f t="shared" si="98"/>
        <v>9.0028468228038547E-2</v>
      </c>
      <c r="M150" s="105">
        <f>+'Proposed Rates'!B55</f>
        <v>17.38</v>
      </c>
      <c r="N150" s="105">
        <f t="shared" si="99"/>
        <v>17.470028468228037</v>
      </c>
      <c r="O150" s="105">
        <f>+'Proposed Rates'!D55</f>
        <v>17.470028468228037</v>
      </c>
      <c r="P150" s="115"/>
      <c r="Q150" s="115"/>
      <c r="S150" s="115"/>
      <c r="T150" s="115"/>
      <c r="U150" s="115"/>
      <c r="V150" s="115"/>
      <c r="W150" s="115"/>
      <c r="Z150" s="112"/>
      <c r="AA150" s="112"/>
      <c r="AB150" s="112"/>
      <c r="AC150" s="112"/>
      <c r="AD150" s="112"/>
    </row>
    <row r="151" spans="1:31" s="130" customFormat="1">
      <c r="A151" s="217"/>
      <c r="B151" s="153">
        <v>22</v>
      </c>
      <c r="C151" s="135" t="s">
        <v>126</v>
      </c>
      <c r="D151" s="97">
        <v>0</v>
      </c>
      <c r="E151" s="116">
        <f>+References!B13</f>
        <v>1</v>
      </c>
      <c r="F151" s="107">
        <f t="shared" si="101"/>
        <v>12</v>
      </c>
      <c r="G151" s="107">
        <f>+References!B46</f>
        <v>125</v>
      </c>
      <c r="H151" s="107">
        <f t="shared" si="102"/>
        <v>1500</v>
      </c>
      <c r="I151" s="107">
        <f t="shared" si="97"/>
        <v>1384.99089416381</v>
      </c>
      <c r="J151" s="105">
        <f>+I151*References!$C$55</f>
        <v>1.0595180340353172</v>
      </c>
      <c r="K151" s="105">
        <f>+J151/References!$G$58</f>
        <v>1.0803416187364625</v>
      </c>
      <c r="L151" s="105">
        <f t="shared" si="98"/>
        <v>9.0028468228038547E-2</v>
      </c>
      <c r="M151" s="105">
        <f>+'Proposed Rates'!B56</f>
        <v>23.99</v>
      </c>
      <c r="N151" s="105">
        <f t="shared" si="99"/>
        <v>24.080028468228036</v>
      </c>
      <c r="O151" s="105">
        <f>+'Proposed Rates'!D56</f>
        <v>24.080028468228036</v>
      </c>
      <c r="P151" s="115"/>
      <c r="Q151" s="115"/>
      <c r="R151" s="115"/>
      <c r="S151" s="115"/>
      <c r="T151" s="115"/>
      <c r="U151" s="115"/>
      <c r="V151" s="115"/>
      <c r="W151" s="115"/>
      <c r="Z151" s="112"/>
      <c r="AA151" s="112"/>
      <c r="AB151" s="112"/>
      <c r="AC151" s="112"/>
      <c r="AD151" s="112"/>
    </row>
    <row r="152" spans="1:31">
      <c r="A152" s="217" t="s">
        <v>13</v>
      </c>
      <c r="B152" s="154">
        <v>29</v>
      </c>
      <c r="C152" s="197" t="s">
        <v>156</v>
      </c>
      <c r="D152" s="149">
        <v>0</v>
      </c>
      <c r="E152" s="120">
        <f>+References!B13</f>
        <v>1</v>
      </c>
      <c r="F152" s="136">
        <f t="shared" si="101"/>
        <v>12</v>
      </c>
      <c r="G152" s="137">
        <f>+References!B34</f>
        <v>473</v>
      </c>
      <c r="H152" s="136">
        <f t="shared" si="102"/>
        <v>5676</v>
      </c>
      <c r="I152" s="136">
        <f t="shared" si="97"/>
        <v>5240.8055435158567</v>
      </c>
      <c r="J152" s="104">
        <f>+I152*References!$C$55</f>
        <v>4.0092162407896401</v>
      </c>
      <c r="K152" s="104">
        <f>+J152/References!$G$58</f>
        <v>4.0880126852987742</v>
      </c>
      <c r="L152" s="104">
        <f t="shared" si="98"/>
        <v>0.34066772377489785</v>
      </c>
      <c r="M152" s="104">
        <f>+'Proposed Rates'!B92</f>
        <v>71.599999999999994</v>
      </c>
      <c r="N152" s="104">
        <f t="shared" si="99"/>
        <v>71.940667723774894</v>
      </c>
      <c r="O152" s="104">
        <f>+'Proposed Rates'!D92</f>
        <v>71.940667723774894</v>
      </c>
      <c r="Z152" s="112"/>
      <c r="AE152" s="100"/>
    </row>
    <row r="153" spans="1:31">
      <c r="A153" s="217"/>
      <c r="B153" s="134">
        <v>29</v>
      </c>
      <c r="C153" s="39" t="s">
        <v>158</v>
      </c>
      <c r="D153" s="97">
        <v>0</v>
      </c>
      <c r="E153" s="122">
        <f>+References!B13</f>
        <v>1</v>
      </c>
      <c r="F153" s="107">
        <f>+E153*12</f>
        <v>12</v>
      </c>
      <c r="G153" s="125">
        <f>+References!B36</f>
        <v>840</v>
      </c>
      <c r="H153" s="107">
        <f t="shared" ref="H153:H154" si="103">+F153*G153</f>
        <v>10080</v>
      </c>
      <c r="I153" s="107">
        <f t="shared" ref="I153:I154" si="104">+H153*$D$165</f>
        <v>9307.1388087808027</v>
      </c>
      <c r="J153" s="105">
        <f>+I153*References!$C$55</f>
        <v>7.1199611887173306</v>
      </c>
      <c r="K153" s="105">
        <f>+J153/References!$G$58</f>
        <v>7.2598956779090278</v>
      </c>
      <c r="L153" s="105">
        <f t="shared" ref="L153:L154" si="105">+K153/F153</f>
        <v>0.60499130649241895</v>
      </c>
      <c r="M153" s="105">
        <f>+'Proposed Rates'!B94</f>
        <v>122.73</v>
      </c>
      <c r="N153" s="105">
        <f t="shared" ref="N153:N154" si="106">+L153+M153</f>
        <v>123.33499130649243</v>
      </c>
      <c r="O153" s="105">
        <f>+'Proposed Rates'!D94</f>
        <v>123.33499130649243</v>
      </c>
      <c r="Z153" s="112"/>
      <c r="AE153" s="100"/>
    </row>
    <row r="154" spans="1:31">
      <c r="A154" s="217"/>
      <c r="B154" s="134">
        <v>29</v>
      </c>
      <c r="C154" s="39" t="s">
        <v>159</v>
      </c>
      <c r="D154" s="97">
        <v>0</v>
      </c>
      <c r="E154" s="122">
        <f>+References!B13</f>
        <v>1</v>
      </c>
      <c r="F154" s="107">
        <f>+E154*12</f>
        <v>12</v>
      </c>
      <c r="G154" s="125">
        <f>+References!B37</f>
        <v>980</v>
      </c>
      <c r="H154" s="107">
        <f t="shared" si="103"/>
        <v>11760</v>
      </c>
      <c r="I154" s="107">
        <f t="shared" si="104"/>
        <v>10858.328610244271</v>
      </c>
      <c r="J154" s="105">
        <f>+I154*References!$C$55</f>
        <v>8.3066213868368859</v>
      </c>
      <c r="K154" s="105">
        <f>+J154/References!$G$58</f>
        <v>8.469878290893865</v>
      </c>
      <c r="L154" s="105">
        <f t="shared" si="105"/>
        <v>0.70582319090782208</v>
      </c>
      <c r="M154" s="105">
        <f>+'Proposed Rates'!B95</f>
        <v>161.53</v>
      </c>
      <c r="N154" s="105">
        <f t="shared" si="106"/>
        <v>162.23582319090784</v>
      </c>
      <c r="O154" s="105">
        <f>+'Proposed Rates'!D95</f>
        <v>162.23582319090784</v>
      </c>
      <c r="Z154" s="112"/>
      <c r="AE154" s="100"/>
    </row>
    <row r="155" spans="1:31">
      <c r="A155" s="217"/>
      <c r="B155" s="134"/>
      <c r="C155" s="138"/>
      <c r="D155" s="97"/>
      <c r="E155" s="122"/>
      <c r="F155" s="107"/>
      <c r="G155" s="125"/>
      <c r="H155" s="107"/>
      <c r="I155" s="107"/>
      <c r="J155" s="105"/>
      <c r="K155" s="105"/>
      <c r="L155" s="105"/>
      <c r="M155" s="105"/>
      <c r="N155" s="105"/>
      <c r="O155" s="105"/>
      <c r="Z155" s="112"/>
      <c r="AE155" s="100"/>
    </row>
    <row r="156" spans="1:31">
      <c r="A156" s="161"/>
      <c r="B156" s="124"/>
      <c r="C156" s="138"/>
      <c r="D156" s="97"/>
      <c r="E156" s="122"/>
      <c r="F156" s="107"/>
      <c r="G156" s="125"/>
      <c r="H156" s="107"/>
      <c r="I156" s="107"/>
      <c r="J156" s="119"/>
      <c r="K156" s="105"/>
      <c r="L156" s="105"/>
      <c r="M156" s="105"/>
      <c r="N156" s="105"/>
      <c r="O156" s="105"/>
      <c r="Z156" s="112"/>
      <c r="AE156" s="100"/>
    </row>
    <row r="157" spans="1:31">
      <c r="A157" s="161"/>
      <c r="B157" s="124"/>
      <c r="C157" s="138"/>
      <c r="D157" s="97"/>
      <c r="E157" s="122"/>
      <c r="F157" s="107"/>
      <c r="G157" s="125"/>
      <c r="H157" s="107"/>
      <c r="I157" s="107"/>
      <c r="J157" s="119"/>
      <c r="K157" s="105"/>
      <c r="L157" s="105"/>
      <c r="M157" s="105"/>
      <c r="N157" s="105"/>
      <c r="O157" s="105"/>
      <c r="P157" s="119"/>
    </row>
    <row r="158" spans="1:31" s="112" customFormat="1">
      <c r="D158" s="101"/>
      <c r="E158" s="113"/>
      <c r="F158" s="101"/>
      <c r="G158" s="101"/>
      <c r="H158" s="101"/>
      <c r="I158" s="101"/>
      <c r="J158" s="115"/>
      <c r="K158" s="115"/>
      <c r="L158" s="115"/>
      <c r="M158" s="115"/>
      <c r="N158" s="115"/>
      <c r="O158" s="115"/>
      <c r="P158" s="115"/>
      <c r="Q158" s="115"/>
      <c r="R158" s="115"/>
      <c r="S158" s="115"/>
      <c r="T158" s="115"/>
      <c r="U158" s="115"/>
      <c r="V158" s="115"/>
      <c r="W158" s="115"/>
    </row>
    <row r="160" spans="1:31">
      <c r="C160" s="218" t="s">
        <v>87</v>
      </c>
      <c r="D160" s="218"/>
      <c r="E160" s="157"/>
      <c r="F160" s="150"/>
    </row>
    <row r="161" spans="1:31">
      <c r="C161" s="110"/>
      <c r="D161" s="123" t="s">
        <v>15</v>
      </c>
    </row>
    <row r="162" spans="1:31">
      <c r="C162" s="110" t="s">
        <v>31</v>
      </c>
      <c r="D162" s="128">
        <f>+'Disposal Schedule'!D35</f>
        <v>7511.1186212237617</v>
      </c>
    </row>
    <row r="163" spans="1:31" s="151" customFormat="1">
      <c r="A163" s="100"/>
      <c r="B163" s="139"/>
      <c r="C163" s="110" t="s">
        <v>32</v>
      </c>
      <c r="D163" s="97">
        <f>+D162*References!G20</f>
        <v>15022237.242447523</v>
      </c>
      <c r="E163" s="113"/>
      <c r="F163" s="101"/>
      <c r="G163" s="101"/>
      <c r="H163" s="101"/>
      <c r="I163" s="101"/>
      <c r="J163" s="115"/>
      <c r="K163" s="115"/>
      <c r="L163" s="115"/>
      <c r="M163" s="115"/>
      <c r="N163" s="115"/>
      <c r="O163" s="115"/>
      <c r="P163" s="115"/>
      <c r="Q163" s="115"/>
      <c r="R163" s="115"/>
      <c r="S163" s="115"/>
      <c r="T163" s="115"/>
      <c r="U163" s="115"/>
      <c r="V163" s="115"/>
      <c r="W163" s="115"/>
      <c r="X163" s="100"/>
      <c r="Y163" s="100"/>
      <c r="Z163" s="100"/>
      <c r="AA163" s="112"/>
      <c r="AB163" s="112"/>
      <c r="AC163" s="112"/>
      <c r="AD163" s="112"/>
      <c r="AE163" s="112"/>
    </row>
    <row r="164" spans="1:31" s="151" customFormat="1" ht="15" customHeight="1">
      <c r="A164" s="100"/>
      <c r="B164" s="139"/>
      <c r="C164" s="110" t="s">
        <v>3</v>
      </c>
      <c r="D164" s="97">
        <f>+F140</f>
        <v>268667.68373168848</v>
      </c>
      <c r="E164" s="113"/>
      <c r="F164" s="101"/>
      <c r="G164" s="101"/>
      <c r="H164" s="101"/>
      <c r="I164" s="101"/>
      <c r="J164" s="115"/>
      <c r="K164" s="115"/>
      <c r="L164" s="115"/>
      <c r="M164" s="115"/>
      <c r="N164" s="115"/>
      <c r="O164" s="115"/>
      <c r="P164" s="115"/>
      <c r="Q164" s="115"/>
      <c r="R164" s="115"/>
      <c r="S164" s="115"/>
      <c r="T164" s="115"/>
      <c r="U164" s="115"/>
      <c r="V164" s="115"/>
      <c r="W164" s="115"/>
      <c r="X164" s="100"/>
      <c r="Y164" s="100"/>
      <c r="Z164" s="100"/>
      <c r="AA164" s="112"/>
      <c r="AB164" s="112"/>
      <c r="AC164" s="112"/>
      <c r="AD164" s="112"/>
      <c r="AE164" s="112"/>
    </row>
    <row r="165" spans="1:31" s="151" customFormat="1">
      <c r="A165" s="100"/>
      <c r="B165" s="139"/>
      <c r="C165" s="127" t="s">
        <v>10</v>
      </c>
      <c r="D165" s="118">
        <f>+D163/H140</f>
        <v>0.92332726277587329</v>
      </c>
      <c r="E165" s="113"/>
      <c r="F165" s="101"/>
      <c r="G165" s="101"/>
      <c r="H165" s="101"/>
      <c r="I165" s="101"/>
      <c r="J165" s="115"/>
      <c r="K165" s="115"/>
      <c r="L165" s="115"/>
      <c r="M165" s="115"/>
      <c r="N165" s="115"/>
      <c r="O165" s="115"/>
      <c r="P165" s="115"/>
      <c r="Q165" s="115"/>
      <c r="R165" s="115"/>
      <c r="S165" s="115"/>
      <c r="T165" s="115"/>
      <c r="U165" s="115"/>
      <c r="V165" s="115"/>
      <c r="W165" s="115"/>
      <c r="X165" s="100"/>
      <c r="Y165" s="100"/>
      <c r="Z165" s="100"/>
      <c r="AA165" s="112"/>
      <c r="AB165" s="112"/>
      <c r="AC165" s="112"/>
      <c r="AD165" s="112"/>
      <c r="AE165" s="112"/>
    </row>
  </sheetData>
  <mergeCells count="5">
    <mergeCell ref="A7:A59"/>
    <mergeCell ref="A61:A138"/>
    <mergeCell ref="A144:A151"/>
    <mergeCell ref="A152:A155"/>
    <mergeCell ref="C160:D160"/>
  </mergeCells>
  <pageMargins left="0.7" right="0.7" top="0.75" bottom="0.75" header="0.3" footer="0.3"/>
  <pageSetup scale="40" fitToHeight="0" orientation="landscape" r:id="rId1"/>
  <headerFooter>
    <oddFooter>&amp;L&amp;F - &amp;A&amp;R&amp;P of &amp;N</oddFooter>
  </headerFooter>
  <rowBreaks count="2" manualBreakCount="2">
    <brk id="60" max="22" man="1"/>
    <brk id="120" max="22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09"/>
  <sheetViews>
    <sheetView zoomScale="85" zoomScaleNormal="85" workbookViewId="0">
      <selection activeCell="H14" sqref="H14"/>
    </sheetView>
  </sheetViews>
  <sheetFormatPr defaultRowHeight="15"/>
  <cols>
    <col min="1" max="1" width="27.42578125" style="36" customWidth="1"/>
    <col min="2" max="4" width="14" style="155" customWidth="1"/>
    <col min="5" max="16384" width="9.140625" style="36"/>
  </cols>
  <sheetData>
    <row r="1" spans="1:10">
      <c r="A1" s="132" t="s">
        <v>535</v>
      </c>
    </row>
    <row r="2" spans="1:10">
      <c r="A2" s="132" t="s">
        <v>536</v>
      </c>
    </row>
    <row r="3" spans="1:10">
      <c r="A3" s="37" t="s">
        <v>557</v>
      </c>
    </row>
    <row r="4" spans="1:10">
      <c r="A4" s="37"/>
    </row>
    <row r="5" spans="1:10">
      <c r="A5" s="207" t="s">
        <v>92</v>
      </c>
    </row>
    <row r="6" spans="1:10" ht="30">
      <c r="B6" s="156" t="s">
        <v>558</v>
      </c>
      <c r="C6" s="156" t="s">
        <v>96</v>
      </c>
      <c r="D6" s="156" t="s">
        <v>559</v>
      </c>
    </row>
    <row r="7" spans="1:10">
      <c r="A7" s="37" t="s">
        <v>99</v>
      </c>
    </row>
    <row r="8" spans="1:10">
      <c r="A8" s="36" t="s">
        <v>100</v>
      </c>
      <c r="B8" s="155">
        <v>6.7292086102311002</v>
      </c>
      <c r="C8" s="155">
        <f>+'Gray''s DF Calc'!L52</f>
        <v>2.4487743358026479E-2</v>
      </c>
      <c r="D8" s="155">
        <f>B8+C8</f>
        <v>6.7536963535891266</v>
      </c>
    </row>
    <row r="10" spans="1:10">
      <c r="A10" s="37" t="s">
        <v>573</v>
      </c>
    </row>
    <row r="11" spans="1:10">
      <c r="A11" s="129" t="s">
        <v>572</v>
      </c>
      <c r="B11" s="113"/>
      <c r="C11" s="113"/>
      <c r="D11" s="113"/>
    </row>
    <row r="12" spans="1:10">
      <c r="A12" s="36" t="s">
        <v>101</v>
      </c>
      <c r="B12" s="103">
        <v>13.06</v>
      </c>
      <c r="C12" s="113">
        <f>+'Gray''s DF Calc'!L8</f>
        <v>6.2419737971440056E-2</v>
      </c>
      <c r="D12" s="113">
        <f t="shared" ref="D12:D25" si="0">B12+C12</f>
        <v>13.122419737971441</v>
      </c>
    </row>
    <row r="13" spans="1:10">
      <c r="A13" s="36" t="s">
        <v>112</v>
      </c>
      <c r="B13" s="103">
        <v>8.2899999999999991</v>
      </c>
      <c r="C13" s="113">
        <f>+'Gray''s DF Calc'!L12</f>
        <v>2.4487743358026483E-2</v>
      </c>
      <c r="D13" s="113">
        <f t="shared" si="0"/>
        <v>8.3144877433580255</v>
      </c>
    </row>
    <row r="14" spans="1:10">
      <c r="A14" s="36" t="s">
        <v>102</v>
      </c>
      <c r="B14" s="103">
        <v>17.829999999999998</v>
      </c>
      <c r="C14" s="113">
        <f>+'Gray''s DF Calc'!L14</f>
        <v>0.10611355455144808</v>
      </c>
      <c r="D14" s="113">
        <f t="shared" si="0"/>
        <v>17.936113554551447</v>
      </c>
      <c r="E14" s="41"/>
      <c r="F14" s="41"/>
    </row>
    <row r="15" spans="1:10">
      <c r="A15" s="36" t="s">
        <v>103</v>
      </c>
      <c r="B15" s="103">
        <v>26.38</v>
      </c>
      <c r="C15" s="113">
        <f>+'Gray''s DF Calc'!L16</f>
        <v>0.15917033182717213</v>
      </c>
      <c r="D15" s="113">
        <f t="shared" si="0"/>
        <v>26.539170331827172</v>
      </c>
      <c r="E15" s="41"/>
      <c r="J15" s="41"/>
    </row>
    <row r="16" spans="1:10">
      <c r="A16" s="36" t="s">
        <v>104</v>
      </c>
      <c r="B16" s="103">
        <v>35</v>
      </c>
      <c r="C16" s="113">
        <f>+'Gray''s DF Calc'!L18</f>
        <v>0.24031599119004415</v>
      </c>
      <c r="D16" s="113">
        <f t="shared" si="0"/>
        <v>35.240315991190045</v>
      </c>
      <c r="E16" s="41"/>
      <c r="J16" s="41"/>
    </row>
    <row r="17" spans="1:10">
      <c r="A17" s="36" t="s">
        <v>105</v>
      </c>
      <c r="B17" s="103">
        <v>43.4</v>
      </c>
      <c r="C17" s="113">
        <f>+'Gray''s DF Calc'!L20</f>
        <v>0.30273572916148422</v>
      </c>
      <c r="D17" s="113">
        <f t="shared" si="0"/>
        <v>43.702735729161482</v>
      </c>
      <c r="J17" s="41"/>
    </row>
    <row r="18" spans="1:10">
      <c r="A18" s="203" t="s">
        <v>106</v>
      </c>
      <c r="B18" s="144">
        <v>51.82</v>
      </c>
      <c r="C18" s="144">
        <f>+'Gray''s DF Calc'!L146</f>
        <v>0.36515546713292429</v>
      </c>
      <c r="D18" s="144">
        <f t="shared" si="0"/>
        <v>52.185155467132923</v>
      </c>
    </row>
    <row r="19" spans="1:10">
      <c r="A19" s="36" t="s">
        <v>109</v>
      </c>
      <c r="B19" s="103">
        <v>13.41</v>
      </c>
      <c r="C19" s="113">
        <f>+'Gray''s DF Calc'!L21</f>
        <v>5.3056777275724033E-2</v>
      </c>
      <c r="D19" s="113">
        <f t="shared" si="0"/>
        <v>13.463056777275725</v>
      </c>
    </row>
    <row r="20" spans="1:10">
      <c r="A20" s="36" t="s">
        <v>113</v>
      </c>
      <c r="B20" s="103">
        <v>11.45</v>
      </c>
      <c r="C20" s="113">
        <f>+'Gray''s DF Calc'!L24</f>
        <v>3.3850704053742485E-2</v>
      </c>
      <c r="D20" s="113">
        <f t="shared" si="0"/>
        <v>11.483850704053742</v>
      </c>
    </row>
    <row r="21" spans="1:10">
      <c r="A21" s="36" t="s">
        <v>110</v>
      </c>
      <c r="B21" s="103">
        <v>18.22</v>
      </c>
      <c r="C21" s="113">
        <f>+'Gray''s DF Calc'!L33</f>
        <v>7.3343192116442052E-2</v>
      </c>
      <c r="D21" s="113">
        <f t="shared" si="0"/>
        <v>18.293343192116442</v>
      </c>
    </row>
    <row r="22" spans="1:10">
      <c r="A22" s="36" t="s">
        <v>107</v>
      </c>
      <c r="B22" s="103">
        <v>27.01</v>
      </c>
      <c r="C22" s="113">
        <f>+'Gray''s DF Calc'!L28</f>
        <v>0.14668638423288413</v>
      </c>
      <c r="D22" s="113">
        <f t="shared" si="0"/>
        <v>27.156686384232884</v>
      </c>
    </row>
    <row r="23" spans="1:10">
      <c r="A23" s="36" t="s">
        <v>114</v>
      </c>
      <c r="B23" s="103">
        <v>14.61</v>
      </c>
      <c r="C23" s="113">
        <f>+'Gray''s DF Calc'!L39</f>
        <v>4.8975486716052972E-2</v>
      </c>
      <c r="D23" s="113">
        <f t="shared" si="0"/>
        <v>14.658975486716052</v>
      </c>
    </row>
    <row r="24" spans="1:10">
      <c r="A24" s="36" t="s">
        <v>111</v>
      </c>
      <c r="B24" s="103">
        <v>23.04</v>
      </c>
      <c r="C24" s="113">
        <f>+'Gray''s DF Calc'!L47</f>
        <v>0.10611355455144807</v>
      </c>
      <c r="D24" s="113">
        <f t="shared" si="0"/>
        <v>23.146113554551448</v>
      </c>
    </row>
    <row r="25" spans="1:10">
      <c r="A25" s="36" t="s">
        <v>108</v>
      </c>
      <c r="B25" s="103">
        <v>36.46</v>
      </c>
      <c r="C25" s="113">
        <f>+'Gray''s DF Calc'!L43</f>
        <v>0.21222710910289616</v>
      </c>
      <c r="D25" s="113">
        <f t="shared" si="0"/>
        <v>36.672227109102899</v>
      </c>
    </row>
    <row r="26" spans="1:10">
      <c r="B26" s="103"/>
      <c r="C26" s="113"/>
      <c r="D26" s="113"/>
    </row>
    <row r="27" spans="1:10">
      <c r="A27" s="129" t="s">
        <v>571</v>
      </c>
      <c r="B27" s="103"/>
      <c r="C27" s="113"/>
      <c r="D27" s="113"/>
    </row>
    <row r="28" spans="1:10">
      <c r="A28" s="36" t="s">
        <v>101</v>
      </c>
      <c r="B28" s="103">
        <v>11.06</v>
      </c>
      <c r="C28" s="155">
        <f>+'Gray''s DF Calc'!L7</f>
        <v>6.2419737971440042E-2</v>
      </c>
      <c r="D28" s="155">
        <f t="shared" ref="D28:D89" si="1">B28+C28</f>
        <v>11.122419737971441</v>
      </c>
    </row>
    <row r="29" spans="1:10">
      <c r="A29" s="36" t="s">
        <v>112</v>
      </c>
      <c r="B29" s="103">
        <v>6.29</v>
      </c>
      <c r="C29" s="155">
        <f>+'Gray''s DF Calc'!L10</f>
        <v>2.4487743358026479E-2</v>
      </c>
      <c r="D29" s="155">
        <f>B29+C29</f>
        <v>6.3144877433580264</v>
      </c>
    </row>
    <row r="30" spans="1:10">
      <c r="A30" s="36" t="s">
        <v>102</v>
      </c>
      <c r="B30" s="103">
        <v>15.83</v>
      </c>
      <c r="C30" s="155">
        <f>+'Gray''s DF Calc'!L15</f>
        <v>0.10611355455144808</v>
      </c>
      <c r="D30" s="155">
        <f t="shared" si="1"/>
        <v>15.936113554551449</v>
      </c>
      <c r="E30" s="41"/>
      <c r="F30" s="41"/>
    </row>
    <row r="31" spans="1:10">
      <c r="A31" s="36" t="s">
        <v>103</v>
      </c>
      <c r="B31" s="103">
        <v>24.38</v>
      </c>
      <c r="C31" s="155">
        <f>+'Gray''s DF Calc'!L17</f>
        <v>0.15917033182717213</v>
      </c>
      <c r="D31" s="155">
        <f t="shared" si="1"/>
        <v>24.539170331827172</v>
      </c>
      <c r="E31" s="41"/>
      <c r="J31" s="41"/>
    </row>
    <row r="32" spans="1:10">
      <c r="A32" s="36" t="s">
        <v>104</v>
      </c>
      <c r="B32" s="103">
        <v>33</v>
      </c>
      <c r="C32" s="155">
        <f>+'Gray''s DF Calc'!L19</f>
        <v>0.24031599119004418</v>
      </c>
      <c r="D32" s="155">
        <f t="shared" si="1"/>
        <v>33.240315991190045</v>
      </c>
      <c r="E32" s="41"/>
      <c r="J32" s="41"/>
    </row>
    <row r="33" spans="1:10">
      <c r="A33" s="203" t="s">
        <v>105</v>
      </c>
      <c r="B33" s="144">
        <v>41.4</v>
      </c>
      <c r="C33" s="144">
        <f>+'Gray''s DF Calc'!L144</f>
        <v>0.30273572916148428</v>
      </c>
      <c r="D33" s="144">
        <f t="shared" si="1"/>
        <v>41.702735729161482</v>
      </c>
      <c r="J33" s="41"/>
    </row>
    <row r="34" spans="1:10">
      <c r="A34" s="203" t="s">
        <v>106</v>
      </c>
      <c r="B34" s="144">
        <v>49.82</v>
      </c>
      <c r="C34" s="144">
        <f>+'Gray''s DF Calc'!L145</f>
        <v>0.36515546713292429</v>
      </c>
      <c r="D34" s="144">
        <f t="shared" si="1"/>
        <v>50.185155467132923</v>
      </c>
    </row>
    <row r="35" spans="1:10">
      <c r="A35" s="36" t="s">
        <v>109</v>
      </c>
      <c r="B35" s="103">
        <v>11.41</v>
      </c>
      <c r="C35" s="155">
        <f>+'Gray''s DF Calc'!L22</f>
        <v>5.305677727572404E-2</v>
      </c>
      <c r="D35" s="155">
        <f>B35+C35</f>
        <v>11.463056777275725</v>
      </c>
    </row>
    <row r="36" spans="1:10">
      <c r="A36" s="36" t="s">
        <v>113</v>
      </c>
      <c r="B36" s="103">
        <v>9.4499999999999993</v>
      </c>
      <c r="C36" s="155">
        <f>+'Gray''s DF Calc'!L23</f>
        <v>3.3850704053742485E-2</v>
      </c>
      <c r="D36" s="155">
        <f>B36+C36</f>
        <v>9.4838507040537419</v>
      </c>
    </row>
    <row r="37" spans="1:10">
      <c r="A37" s="36" t="s">
        <v>110</v>
      </c>
      <c r="B37" s="103">
        <v>16.22</v>
      </c>
      <c r="C37" s="155">
        <f>+'Gray''s DF Calc'!L32</f>
        <v>7.3343192116442066E-2</v>
      </c>
      <c r="D37" s="155">
        <f>B37+C37</f>
        <v>16.293343192116442</v>
      </c>
    </row>
    <row r="38" spans="1:10">
      <c r="A38" s="36" t="s">
        <v>107</v>
      </c>
      <c r="B38" s="103">
        <v>25.01</v>
      </c>
      <c r="C38" s="155">
        <f>+'Gray''s DF Calc'!L27</f>
        <v>0.1466863842328841</v>
      </c>
      <c r="D38" s="155">
        <f t="shared" si="1"/>
        <v>25.156686384232884</v>
      </c>
    </row>
    <row r="39" spans="1:10">
      <c r="A39" s="36" t="s">
        <v>114</v>
      </c>
      <c r="B39" s="103">
        <v>12.61</v>
      </c>
      <c r="C39" s="155">
        <f>+'Gray''s DF Calc'!L38</f>
        <v>4.8975486716052966E-2</v>
      </c>
      <c r="D39" s="155">
        <f>B39+C39</f>
        <v>12.658975486716052</v>
      </c>
    </row>
    <row r="40" spans="1:10">
      <c r="A40" s="36" t="s">
        <v>111</v>
      </c>
      <c r="B40" s="103">
        <v>21.04</v>
      </c>
      <c r="C40" s="155">
        <f>+'Gray''s DF Calc'!L46</f>
        <v>0.10611355455144808</v>
      </c>
      <c r="D40" s="155">
        <f>B40+C40</f>
        <v>21.146113554551448</v>
      </c>
    </row>
    <row r="41" spans="1:10">
      <c r="A41" s="36" t="s">
        <v>108</v>
      </c>
      <c r="B41" s="103">
        <v>34.46</v>
      </c>
      <c r="C41" s="155">
        <f>+'Gray''s DF Calc'!L42</f>
        <v>0.21222710910289613</v>
      </c>
      <c r="D41" s="155">
        <f t="shared" si="1"/>
        <v>34.672227109102899</v>
      </c>
    </row>
    <row r="42" spans="1:10">
      <c r="B42" s="103"/>
    </row>
    <row r="43" spans="1:10">
      <c r="A43" s="37" t="s">
        <v>115</v>
      </c>
      <c r="B43" s="103"/>
    </row>
    <row r="44" spans="1:10">
      <c r="A44" s="36" t="s">
        <v>116</v>
      </c>
      <c r="B44" s="103">
        <v>4.49</v>
      </c>
      <c r="C44" s="155">
        <f>+'Gray''s DF Calc'!L49</f>
        <v>2.4487743358026479E-2</v>
      </c>
      <c r="D44" s="155">
        <f t="shared" si="1"/>
        <v>4.5144877433580266</v>
      </c>
    </row>
    <row r="45" spans="1:10">
      <c r="A45" s="36" t="s">
        <v>117</v>
      </c>
      <c r="B45" s="103">
        <v>8.9</v>
      </c>
      <c r="C45" s="155">
        <f>+'Gray''s DF Calc'!L57</f>
        <v>3.3850704053742485E-2</v>
      </c>
      <c r="D45" s="155">
        <f t="shared" si="1"/>
        <v>8.9338507040537429</v>
      </c>
    </row>
    <row r="46" spans="1:10">
      <c r="A46" s="36" t="s">
        <v>118</v>
      </c>
      <c r="B46" s="103">
        <v>13.32</v>
      </c>
      <c r="C46" s="155">
        <f>+'Gray''s DF Calc'!L58</f>
        <v>4.8975486716052966E-2</v>
      </c>
      <c r="D46" s="155">
        <f t="shared" si="1"/>
        <v>13.368975486716053</v>
      </c>
    </row>
    <row r="47" spans="1:10">
      <c r="A47" s="203" t="s">
        <v>98</v>
      </c>
      <c r="B47" s="144">
        <v>5.04</v>
      </c>
      <c r="C47" s="144">
        <f>+'Gray''s DF Calc'!L147</f>
        <v>2.4487743358026486E-2</v>
      </c>
      <c r="D47" s="144">
        <f t="shared" si="1"/>
        <v>5.0644877433580264</v>
      </c>
    </row>
    <row r="48" spans="1:10">
      <c r="A48" s="36" t="s">
        <v>119</v>
      </c>
      <c r="B48" s="103">
        <v>7.27</v>
      </c>
      <c r="C48" s="155">
        <f>+'Gray''s DF Calc'!L50</f>
        <v>2.4487743358026483E-2</v>
      </c>
      <c r="D48" s="155">
        <f t="shared" si="1"/>
        <v>7.294487743358026</v>
      </c>
    </row>
    <row r="50" spans="1:4">
      <c r="A50" s="37" t="s">
        <v>120</v>
      </c>
    </row>
    <row r="51" spans="1:4">
      <c r="A51" s="36" t="s">
        <v>121</v>
      </c>
      <c r="B51" s="155">
        <v>13.08</v>
      </c>
      <c r="C51" s="155">
        <f>+'Gray''s DF Calc'!L135</f>
        <v>9.0028468228038533E-2</v>
      </c>
      <c r="D51" s="155">
        <f t="shared" si="1"/>
        <v>13.170028468228038</v>
      </c>
    </row>
    <row r="52" spans="1:4">
      <c r="A52" s="203" t="s">
        <v>122</v>
      </c>
      <c r="B52" s="144">
        <v>9.11</v>
      </c>
      <c r="C52" s="144">
        <f>+'Gray''s DF Calc'!L148</f>
        <v>9.0028468228038547E-2</v>
      </c>
      <c r="D52" s="144">
        <f t="shared" si="1"/>
        <v>9.2000284682280373</v>
      </c>
    </row>
    <row r="53" spans="1:4">
      <c r="A53" s="203" t="s">
        <v>123</v>
      </c>
      <c r="B53" s="144">
        <v>13.08</v>
      </c>
      <c r="C53" s="144">
        <f>+'Gray''s DF Calc'!L149</f>
        <v>9.0028468228038547E-2</v>
      </c>
      <c r="D53" s="144">
        <f t="shared" si="1"/>
        <v>13.170028468228038</v>
      </c>
    </row>
    <row r="54" spans="1:4">
      <c r="A54" s="36" t="s">
        <v>124</v>
      </c>
      <c r="B54" s="155">
        <v>23.99</v>
      </c>
      <c r="C54" s="155">
        <f>+'Gray''s DF Calc'!L54</f>
        <v>9.0028468228038533E-2</v>
      </c>
      <c r="D54" s="155">
        <f t="shared" si="1"/>
        <v>24.080028468228036</v>
      </c>
    </row>
    <row r="55" spans="1:4">
      <c r="A55" s="203" t="s">
        <v>125</v>
      </c>
      <c r="B55" s="144">
        <v>17.38</v>
      </c>
      <c r="C55" s="144">
        <f>+'Gray''s DF Calc'!L150</f>
        <v>9.0028468228038547E-2</v>
      </c>
      <c r="D55" s="144">
        <f t="shared" si="1"/>
        <v>17.470028468228037</v>
      </c>
    </row>
    <row r="56" spans="1:4">
      <c r="A56" s="203" t="s">
        <v>126</v>
      </c>
      <c r="B56" s="144">
        <v>23.99</v>
      </c>
      <c r="C56" s="144">
        <f>+'Gray''s DF Calc'!L151</f>
        <v>9.0028468228038547E-2</v>
      </c>
      <c r="D56" s="144">
        <f t="shared" si="1"/>
        <v>24.080028468228036</v>
      </c>
    </row>
    <row r="58" spans="1:4">
      <c r="A58" s="37" t="s">
        <v>127</v>
      </c>
    </row>
    <row r="59" spans="1:4">
      <c r="A59" s="203" t="s">
        <v>128</v>
      </c>
      <c r="B59" s="205">
        <v>0.13</v>
      </c>
      <c r="C59" s="205">
        <f>+References!B59/References!G20</f>
        <v>7.8003517805705022E-4</v>
      </c>
      <c r="D59" s="205">
        <f t="shared" si="1"/>
        <v>0.13078003517805706</v>
      </c>
    </row>
    <row r="61" spans="1:4">
      <c r="A61" s="37" t="s">
        <v>129</v>
      </c>
    </row>
    <row r="62" spans="1:4">
      <c r="A62" s="36" t="s">
        <v>130</v>
      </c>
      <c r="B62" s="155">
        <v>95.2</v>
      </c>
      <c r="C62" s="155">
        <f>+References!B55</f>
        <v>1.5300000000000011</v>
      </c>
      <c r="D62" s="155">
        <f t="shared" si="1"/>
        <v>96.73</v>
      </c>
    </row>
    <row r="64" spans="1:4">
      <c r="A64" s="37" t="s">
        <v>131</v>
      </c>
    </row>
    <row r="65" spans="1:9">
      <c r="A65" s="36" t="s">
        <v>132</v>
      </c>
      <c r="B65" s="155">
        <v>33.33</v>
      </c>
      <c r="C65" s="155">
        <f>+'Gray''s DF Calc'!L61</f>
        <v>0.12603985551925398</v>
      </c>
      <c r="D65" s="155">
        <f t="shared" si="1"/>
        <v>33.456039855519251</v>
      </c>
    </row>
    <row r="66" spans="1:9">
      <c r="A66" s="36" t="s">
        <v>133</v>
      </c>
      <c r="B66" s="155">
        <v>47.03</v>
      </c>
      <c r="C66" s="155">
        <f>+'Gray''s DF Calc'!L68</f>
        <v>0.18005693645607709</v>
      </c>
      <c r="D66" s="155">
        <f t="shared" si="1"/>
        <v>47.210056936456077</v>
      </c>
    </row>
    <row r="67" spans="1:9">
      <c r="A67" s="36" t="s">
        <v>134</v>
      </c>
      <c r="B67" s="155">
        <v>57.28</v>
      </c>
      <c r="C67" s="155">
        <f>+'Gray''s DF Calc'!L74</f>
        <v>0.23335378964707587</v>
      </c>
      <c r="D67" s="155">
        <f t="shared" si="1"/>
        <v>57.513353789647077</v>
      </c>
    </row>
    <row r="68" spans="1:9">
      <c r="A68" s="36" t="s">
        <v>135</v>
      </c>
      <c r="B68" s="155">
        <v>77.25</v>
      </c>
      <c r="C68" s="155">
        <f>+'Gray''s DF Calc'!L80</f>
        <v>0.34066772377489785</v>
      </c>
      <c r="D68" s="155">
        <f t="shared" si="1"/>
        <v>77.590667723774899</v>
      </c>
    </row>
    <row r="69" spans="1:9">
      <c r="A69" s="36" t="s">
        <v>136</v>
      </c>
      <c r="B69" s="155">
        <v>95.82</v>
      </c>
      <c r="C69" s="155">
        <f>+'Gray''s DF Calc'!L86</f>
        <v>0.44149960819030104</v>
      </c>
      <c r="D69" s="155">
        <f t="shared" si="1"/>
        <v>96.261499608190292</v>
      </c>
    </row>
    <row r="70" spans="1:9">
      <c r="A70" s="36" t="s">
        <v>137</v>
      </c>
      <c r="B70" s="155">
        <v>147.44999999999999</v>
      </c>
      <c r="C70" s="155">
        <f>+'Gray''s DF Calc'!L92</f>
        <v>0.60499130649241906</v>
      </c>
      <c r="D70" s="155">
        <f t="shared" si="1"/>
        <v>148.05499130649241</v>
      </c>
    </row>
    <row r="71" spans="1:9">
      <c r="A71" s="36" t="s">
        <v>138</v>
      </c>
      <c r="B71" s="155">
        <v>178.37</v>
      </c>
      <c r="C71" s="155">
        <f>+'Gray''s DF Calc'!L98</f>
        <v>0.7058231909078222</v>
      </c>
      <c r="D71" s="155">
        <f t="shared" si="1"/>
        <v>179.07582319090784</v>
      </c>
    </row>
    <row r="73" spans="1:9">
      <c r="A73" s="36" t="s">
        <v>139</v>
      </c>
      <c r="B73" s="155">
        <v>19.149999999999999</v>
      </c>
      <c r="C73" s="155">
        <f>+'Gray''s DF Calc'!L62</f>
        <v>0.12603985551925395</v>
      </c>
      <c r="D73" s="155">
        <f t="shared" si="1"/>
        <v>19.276039855519251</v>
      </c>
    </row>
    <row r="74" spans="1:9">
      <c r="A74" s="36" t="s">
        <v>140</v>
      </c>
      <c r="B74" s="155">
        <v>26.31</v>
      </c>
      <c r="C74" s="155">
        <f>+'Gray''s DF Calc'!L69</f>
        <v>0.18005693645607707</v>
      </c>
      <c r="D74" s="155">
        <f t="shared" si="1"/>
        <v>26.490056936456075</v>
      </c>
    </row>
    <row r="75" spans="1:9">
      <c r="A75" s="36" t="s">
        <v>141</v>
      </c>
      <c r="B75" s="155">
        <v>35.200000000000003</v>
      </c>
      <c r="C75" s="155">
        <f>+'Gray''s DF Calc'!L75</f>
        <v>0.23335378964707593</v>
      </c>
      <c r="D75" s="155">
        <f t="shared" si="1"/>
        <v>35.433353789647079</v>
      </c>
    </row>
    <row r="76" spans="1:9">
      <c r="A76" s="36" t="s">
        <v>142</v>
      </c>
      <c r="B76" s="155">
        <v>50.8</v>
      </c>
      <c r="C76" s="155">
        <f>+'Gray''s DF Calc'!L81</f>
        <v>0.34066772377489785</v>
      </c>
      <c r="D76" s="155">
        <f t="shared" si="1"/>
        <v>51.140667723774897</v>
      </c>
    </row>
    <row r="77" spans="1:9">
      <c r="A77" s="36" t="s">
        <v>143</v>
      </c>
      <c r="B77" s="155">
        <v>63.48</v>
      </c>
      <c r="C77" s="155">
        <f>+'Gray''s DF Calc'!L87</f>
        <v>0.44149960819030099</v>
      </c>
      <c r="D77" s="155">
        <f t="shared" si="1"/>
        <v>63.921499608190295</v>
      </c>
      <c r="F77" s="42"/>
      <c r="I77" s="41"/>
    </row>
    <row r="78" spans="1:9">
      <c r="A78" s="36" t="s">
        <v>144</v>
      </c>
      <c r="B78" s="155">
        <v>89.4</v>
      </c>
      <c r="C78" s="155">
        <f>+'Gray''s DF Calc'!L93</f>
        <v>0.60499130649241883</v>
      </c>
      <c r="D78" s="155">
        <f t="shared" si="1"/>
        <v>90.004991306492428</v>
      </c>
      <c r="F78" s="42"/>
    </row>
    <row r="79" spans="1:9">
      <c r="A79" s="36" t="s">
        <v>145</v>
      </c>
      <c r="B79" s="155">
        <v>109.99</v>
      </c>
      <c r="C79" s="155">
        <f>+'Gray''s DF Calc'!L99</f>
        <v>0.70582319090782208</v>
      </c>
      <c r="D79" s="155">
        <f t="shared" si="1"/>
        <v>110.69582319090782</v>
      </c>
    </row>
    <row r="81" spans="1:4">
      <c r="A81" s="36" t="s">
        <v>146</v>
      </c>
      <c r="B81" s="155">
        <v>29.21</v>
      </c>
      <c r="C81" s="155">
        <f>+'Gray''s DF Calc'!L127</f>
        <v>0.12603985551925392</v>
      </c>
      <c r="D81" s="155">
        <f t="shared" si="1"/>
        <v>29.336039855519253</v>
      </c>
    </row>
    <row r="82" spans="1:4">
      <c r="A82" s="36" t="s">
        <v>147</v>
      </c>
      <c r="B82" s="155">
        <v>41.39</v>
      </c>
      <c r="C82" s="155">
        <f>+'Gray''s DF Calc'!L128</f>
        <v>0.18005693645607707</v>
      </c>
      <c r="D82" s="155">
        <f t="shared" si="1"/>
        <v>41.570056936456076</v>
      </c>
    </row>
    <row r="83" spans="1:4">
      <c r="A83" s="36" t="s">
        <v>148</v>
      </c>
      <c r="B83" s="155">
        <v>53.26</v>
      </c>
      <c r="C83" s="155">
        <f>+'Gray''s DF Calc'!L129</f>
        <v>0.23335378964707593</v>
      </c>
      <c r="D83" s="155">
        <f t="shared" si="1"/>
        <v>53.493353789647074</v>
      </c>
    </row>
    <row r="84" spans="1:4">
      <c r="A84" s="36" t="s">
        <v>149</v>
      </c>
      <c r="B84" s="155">
        <v>71.599999999999994</v>
      </c>
      <c r="C84" s="155">
        <f>+'Gray''s DF Calc'!L130</f>
        <v>0.34066772377489785</v>
      </c>
      <c r="D84" s="155">
        <f t="shared" si="1"/>
        <v>71.940667723774894</v>
      </c>
    </row>
    <row r="85" spans="1:4">
      <c r="A85" s="36" t="s">
        <v>150</v>
      </c>
      <c r="B85" s="155">
        <v>94.31</v>
      </c>
      <c r="C85" s="155">
        <f>+'Gray''s DF Calc'!L131</f>
        <v>0.44149960819030093</v>
      </c>
      <c r="D85" s="155">
        <f t="shared" si="1"/>
        <v>94.751499608190301</v>
      </c>
    </row>
    <row r="86" spans="1:4">
      <c r="A86" s="36" t="s">
        <v>151</v>
      </c>
      <c r="B86" s="155">
        <v>122.73</v>
      </c>
      <c r="C86" s="155">
        <f>+'Gray''s DF Calc'!L132</f>
        <v>0.60499130649241895</v>
      </c>
      <c r="D86" s="155">
        <f t="shared" si="1"/>
        <v>123.33499130649243</v>
      </c>
    </row>
    <row r="87" spans="1:4">
      <c r="A87" s="36" t="s">
        <v>152</v>
      </c>
      <c r="B87" s="155">
        <v>161.53</v>
      </c>
      <c r="C87" s="155">
        <f>+'Gray''s DF Calc'!L133</f>
        <v>0.70582319090782208</v>
      </c>
      <c r="D87" s="155">
        <f t="shared" si="1"/>
        <v>162.23582319090784</v>
      </c>
    </row>
    <row r="89" spans="1:4">
      <c r="A89" s="36" t="s">
        <v>153</v>
      </c>
      <c r="B89" s="155">
        <f>B81</f>
        <v>29.21</v>
      </c>
      <c r="C89" s="155">
        <f>+'Gray''s DF Calc'!L123</f>
        <v>0.12603985551925395</v>
      </c>
      <c r="D89" s="155">
        <f t="shared" si="1"/>
        <v>29.336039855519253</v>
      </c>
    </row>
    <row r="90" spans="1:4">
      <c r="A90" s="36" t="s">
        <v>154</v>
      </c>
      <c r="B90" s="155">
        <f t="shared" ref="B90:B95" si="2">B82</f>
        <v>41.39</v>
      </c>
      <c r="C90" s="155">
        <f>+'Gray''s DF Calc'!L124</f>
        <v>0.18005693645607704</v>
      </c>
      <c r="D90" s="155">
        <f t="shared" ref="D90:D109" si="3">B90+C90</f>
        <v>41.570056936456076</v>
      </c>
    </row>
    <row r="91" spans="1:4">
      <c r="A91" s="36" t="s">
        <v>155</v>
      </c>
      <c r="B91" s="155">
        <f t="shared" si="2"/>
        <v>53.26</v>
      </c>
      <c r="C91" s="155">
        <f>+'Gray''s DF Calc'!L125</f>
        <v>0.23335378964707593</v>
      </c>
      <c r="D91" s="155">
        <f t="shared" si="3"/>
        <v>53.493353789647074</v>
      </c>
    </row>
    <row r="92" spans="1:4">
      <c r="A92" s="203" t="s">
        <v>156</v>
      </c>
      <c r="B92" s="144">
        <f t="shared" si="2"/>
        <v>71.599999999999994</v>
      </c>
      <c r="C92" s="144">
        <f>+'Gray''s DF Calc'!L152</f>
        <v>0.34066772377489785</v>
      </c>
      <c r="D92" s="144">
        <f t="shared" si="3"/>
        <v>71.940667723774894</v>
      </c>
    </row>
    <row r="93" spans="1:4">
      <c r="A93" s="36" t="s">
        <v>157</v>
      </c>
      <c r="B93" s="155">
        <f t="shared" si="2"/>
        <v>94.31</v>
      </c>
      <c r="C93" s="155">
        <f>+'Gray''s DF Calc'!L126</f>
        <v>0.44149960819030093</v>
      </c>
      <c r="D93" s="155">
        <f t="shared" si="3"/>
        <v>94.751499608190301</v>
      </c>
    </row>
    <row r="94" spans="1:4">
      <c r="A94" s="203" t="s">
        <v>158</v>
      </c>
      <c r="B94" s="144">
        <f t="shared" si="2"/>
        <v>122.73</v>
      </c>
      <c r="C94" s="144">
        <f>+'Gray''s DF Calc'!L153</f>
        <v>0.60499130649241895</v>
      </c>
      <c r="D94" s="144">
        <f t="shared" si="3"/>
        <v>123.33499130649243</v>
      </c>
    </row>
    <row r="95" spans="1:4">
      <c r="A95" s="203" t="s">
        <v>159</v>
      </c>
      <c r="B95" s="144">
        <f t="shared" si="2"/>
        <v>161.53</v>
      </c>
      <c r="C95" s="144">
        <f>+'Gray''s DF Calc'!L154</f>
        <v>0.70582319090782208</v>
      </c>
      <c r="D95" s="144">
        <f t="shared" si="3"/>
        <v>162.23582319090784</v>
      </c>
    </row>
    <row r="97" spans="1:6">
      <c r="A97" s="37" t="s">
        <v>560</v>
      </c>
    </row>
    <row r="98" spans="1:6">
      <c r="A98" s="36" t="s">
        <v>160</v>
      </c>
      <c r="B98" s="155">
        <v>3.17</v>
      </c>
      <c r="C98" s="155">
        <f>'Gray''s DF Calc'!$L$102/References!$B$11</f>
        <v>2.0886604628904938E-2</v>
      </c>
      <c r="D98" s="155">
        <f t="shared" si="3"/>
        <v>3.1908866046289051</v>
      </c>
    </row>
    <row r="99" spans="1:6">
      <c r="A99" s="36" t="s">
        <v>161</v>
      </c>
      <c r="B99" s="155">
        <v>2.95</v>
      </c>
      <c r="C99" s="155">
        <f>'Gray''s DF Calc'!$L$102/References!$B$11</f>
        <v>2.0886604628904938E-2</v>
      </c>
      <c r="D99" s="155">
        <f t="shared" si="3"/>
        <v>2.9708866046289053</v>
      </c>
    </row>
    <row r="100" spans="1:6">
      <c r="A100" s="36" t="s">
        <v>162</v>
      </c>
      <c r="B100" s="155">
        <v>3.17</v>
      </c>
      <c r="C100" s="155">
        <f>'Gray''s DF Calc'!$L$102/References!$B$11</f>
        <v>2.0886604628904938E-2</v>
      </c>
      <c r="D100" s="155">
        <f t="shared" si="3"/>
        <v>3.1908866046289051</v>
      </c>
    </row>
    <row r="101" spans="1:6">
      <c r="A101" s="36" t="s">
        <v>163</v>
      </c>
      <c r="B101" s="155">
        <v>14.4</v>
      </c>
      <c r="C101" s="155">
        <f>+'Gray''s DF Calc'!L102</f>
        <v>9.0508620058588063E-2</v>
      </c>
      <c r="D101" s="155">
        <f t="shared" si="3"/>
        <v>14.490508620058588</v>
      </c>
      <c r="F101" s="41"/>
    </row>
    <row r="102" spans="1:6">
      <c r="A102" s="36" t="s">
        <v>164</v>
      </c>
      <c r="B102" s="155">
        <v>12.5</v>
      </c>
      <c r="C102" s="155">
        <f>'Gray''s DF Calc'!$L$102/References!$B$11</f>
        <v>2.0886604628904938E-2</v>
      </c>
      <c r="D102" s="155">
        <f t="shared" si="3"/>
        <v>12.520886604628904</v>
      </c>
    </row>
    <row r="103" spans="1:6">
      <c r="A103" s="36" t="s">
        <v>165</v>
      </c>
      <c r="B103" s="155">
        <v>4.6399999999999997</v>
      </c>
      <c r="C103" s="155">
        <f>'Gray''s DF Calc'!$L$102/References!$B$11</f>
        <v>2.0886604628904938E-2</v>
      </c>
      <c r="D103" s="155">
        <f t="shared" si="3"/>
        <v>4.6608866046289048</v>
      </c>
    </row>
    <row r="105" spans="1:6">
      <c r="A105" s="36" t="s">
        <v>166</v>
      </c>
      <c r="B105" s="155">
        <v>6.5</v>
      </c>
      <c r="C105" s="155">
        <f>+'Gray''s DF Calc'!L110</f>
        <v>3.3850704053742492E-2</v>
      </c>
      <c r="D105" s="155">
        <f t="shared" si="3"/>
        <v>6.5338507040537426</v>
      </c>
    </row>
    <row r="106" spans="1:6">
      <c r="A106" s="36" t="s">
        <v>167</v>
      </c>
      <c r="B106" s="155">
        <v>6.5</v>
      </c>
      <c r="C106" s="155">
        <f>+'Gray''s DF Calc'!L110</f>
        <v>3.3850704053742492E-2</v>
      </c>
      <c r="D106" s="155">
        <f t="shared" si="3"/>
        <v>6.5338507040537426</v>
      </c>
    </row>
    <row r="108" spans="1:6">
      <c r="A108" s="36" t="s">
        <v>168</v>
      </c>
      <c r="B108" s="155">
        <v>9.34</v>
      </c>
      <c r="C108" s="155">
        <f>+'Gray''s DF Calc'!L116</f>
        <v>4.8975486716052966E-2</v>
      </c>
      <c r="D108" s="155">
        <f t="shared" si="3"/>
        <v>9.3889754867160526</v>
      </c>
    </row>
    <row r="109" spans="1:6">
      <c r="A109" s="36" t="s">
        <v>169</v>
      </c>
      <c r="B109" s="155">
        <v>9.34</v>
      </c>
      <c r="C109" s="155">
        <f>+'Gray''s DF Calc'!L116</f>
        <v>4.8975486716052966E-2</v>
      </c>
      <c r="D109" s="155">
        <f t="shared" si="3"/>
        <v>9.3889754867160526</v>
      </c>
    </row>
  </sheetData>
  <pageMargins left="0.7" right="0.7" top="0.75" bottom="0.75" header="0.3" footer="0.3"/>
  <pageSetup fitToHeight="0" orientation="portrait" r:id="rId1"/>
  <headerFooter>
    <oddFooter>&amp;L&amp;F - &amp;A&amp;R&amp;P of &amp;N</oddFooter>
  </headerFooter>
  <rowBreaks count="2" manualBreakCount="2">
    <brk id="42" max="16383" man="1"/>
    <brk id="80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9"/>
  <sheetViews>
    <sheetView topLeftCell="A16" zoomScale="85" zoomScaleNormal="85" workbookViewId="0">
      <selection activeCell="D35" sqref="D35"/>
    </sheetView>
  </sheetViews>
  <sheetFormatPr defaultColWidth="10.5703125" defaultRowHeight="15"/>
  <cols>
    <col min="1" max="7" width="13.7109375" style="88" customWidth="1"/>
    <col min="8" max="16384" width="10.5703125" style="53"/>
  </cols>
  <sheetData>
    <row r="1" spans="1:13">
      <c r="A1" s="92" t="s">
        <v>535</v>
      </c>
    </row>
    <row r="2" spans="1:13">
      <c r="A2" s="92" t="s">
        <v>536</v>
      </c>
    </row>
    <row r="3" spans="1:13">
      <c r="A3" s="96" t="s">
        <v>556</v>
      </c>
    </row>
    <row r="4" spans="1:13">
      <c r="A4" s="87" t="s">
        <v>170</v>
      </c>
      <c r="E4" s="81"/>
    </row>
    <row r="5" spans="1:13" ht="29.25" customHeight="1">
      <c r="A5" s="221" t="s">
        <v>554</v>
      </c>
      <c r="B5" s="221"/>
      <c r="C5" s="221"/>
      <c r="D5" s="221"/>
      <c r="E5" s="221"/>
      <c r="F5" s="221"/>
      <c r="G5" s="221"/>
      <c r="H5" s="95"/>
    </row>
    <row r="6" spans="1:13">
      <c r="E6" s="81"/>
    </row>
    <row r="7" spans="1:13">
      <c r="B7" s="219" t="s">
        <v>542</v>
      </c>
      <c r="C7" s="220"/>
      <c r="F7" s="219" t="s">
        <v>541</v>
      </c>
      <c r="G7" s="220"/>
    </row>
    <row r="8" spans="1:13">
      <c r="A8" s="90" t="s">
        <v>538</v>
      </c>
      <c r="B8" s="90" t="s">
        <v>539</v>
      </c>
      <c r="C8" s="90" t="s">
        <v>540</v>
      </c>
      <c r="E8" s="90" t="s">
        <v>538</v>
      </c>
      <c r="F8" s="90" t="s">
        <v>539</v>
      </c>
      <c r="G8" s="90" t="s">
        <v>540</v>
      </c>
      <c r="I8" s="51"/>
      <c r="J8" s="51"/>
      <c r="K8" s="51"/>
      <c r="L8" s="52"/>
    </row>
    <row r="9" spans="1:13">
      <c r="A9" s="80">
        <v>41183</v>
      </c>
      <c r="B9" s="79">
        <v>189795.28999999998</v>
      </c>
      <c r="C9" s="78">
        <v>2169.0890285714281</v>
      </c>
      <c r="D9" s="94"/>
      <c r="E9" s="80">
        <v>41183</v>
      </c>
      <c r="F9" s="79">
        <v>69912.259999999995</v>
      </c>
      <c r="G9" s="77">
        <v>798.99725714285705</v>
      </c>
      <c r="H9" s="50"/>
      <c r="I9" s="49"/>
      <c r="J9" s="48"/>
      <c r="K9" s="47"/>
      <c r="L9" s="52"/>
    </row>
    <row r="10" spans="1:13">
      <c r="A10" s="80">
        <v>41214</v>
      </c>
      <c r="B10" s="79">
        <v>181795.26</v>
      </c>
      <c r="C10" s="78">
        <v>2077.6601142857144</v>
      </c>
      <c r="D10" s="94"/>
      <c r="E10" s="80">
        <v>41214</v>
      </c>
      <c r="F10" s="79">
        <v>75192.820000000007</v>
      </c>
      <c r="G10" s="77">
        <v>859.34651428571442</v>
      </c>
      <c r="H10" s="50"/>
      <c r="I10" s="49"/>
      <c r="J10" s="48"/>
      <c r="K10" s="47"/>
      <c r="L10" s="52"/>
    </row>
    <row r="11" spans="1:13">
      <c r="A11" s="80">
        <v>41244</v>
      </c>
      <c r="B11" s="79">
        <v>162801.37</v>
      </c>
      <c r="C11" s="78">
        <v>1860.5870857142856</v>
      </c>
      <c r="D11" s="94"/>
      <c r="E11" s="80">
        <v>41244</v>
      </c>
      <c r="F11" s="79">
        <v>76485.5</v>
      </c>
      <c r="G11" s="77">
        <v>874.12</v>
      </c>
      <c r="H11" s="50"/>
      <c r="I11" s="49"/>
      <c r="J11" s="48"/>
      <c r="K11" s="47"/>
      <c r="L11" s="52"/>
    </row>
    <row r="12" spans="1:13">
      <c r="A12" s="80">
        <v>41275</v>
      </c>
      <c r="B12" s="79">
        <v>185131.48000000004</v>
      </c>
      <c r="C12" s="93">
        <v>1985.3241823056305</v>
      </c>
      <c r="D12" s="94"/>
      <c r="E12" s="80">
        <v>41275</v>
      </c>
      <c r="F12" s="79">
        <v>79215.199999999997</v>
      </c>
      <c r="G12" s="93">
        <v>849.49276139410188</v>
      </c>
      <c r="H12" s="50"/>
      <c r="I12" s="49"/>
      <c r="J12" s="48"/>
      <c r="K12" s="47"/>
      <c r="L12" s="52"/>
    </row>
    <row r="13" spans="1:13">
      <c r="A13" s="80">
        <v>41306</v>
      </c>
      <c r="B13" s="79">
        <v>156331.79000000004</v>
      </c>
      <c r="C13" s="93">
        <v>1676.480321715818</v>
      </c>
      <c r="D13" s="94"/>
      <c r="E13" s="80">
        <v>41306</v>
      </c>
      <c r="F13" s="79">
        <v>83415.55</v>
      </c>
      <c r="G13" s="93">
        <v>894.53672922252019</v>
      </c>
      <c r="H13" s="50"/>
      <c r="I13" s="49"/>
      <c r="J13" s="48"/>
      <c r="K13" s="47"/>
      <c r="L13" s="52"/>
    </row>
    <row r="14" spans="1:13">
      <c r="A14" s="80">
        <v>41334</v>
      </c>
      <c r="B14" s="79">
        <v>170789.56</v>
      </c>
      <c r="C14" s="93">
        <v>1831.5234316353888</v>
      </c>
      <c r="D14" s="94"/>
      <c r="E14" s="80">
        <v>41334</v>
      </c>
      <c r="F14" s="79">
        <v>79366.33</v>
      </c>
      <c r="G14" s="93">
        <v>851.11345844504024</v>
      </c>
      <c r="H14" s="50"/>
      <c r="I14" s="49"/>
      <c r="J14" s="48"/>
      <c r="K14" s="47"/>
      <c r="L14" s="46"/>
      <c r="M14" s="45"/>
    </row>
    <row r="15" spans="1:13">
      <c r="A15" s="80">
        <v>41365</v>
      </c>
      <c r="B15" s="79">
        <v>192575.66999999998</v>
      </c>
      <c r="C15" s="93">
        <v>2065.154638069705</v>
      </c>
      <c r="D15" s="94"/>
      <c r="E15" s="80">
        <v>41365</v>
      </c>
      <c r="F15" s="79">
        <v>77230.77</v>
      </c>
      <c r="G15" s="93">
        <v>828.21201072386066</v>
      </c>
      <c r="H15" s="50"/>
      <c r="I15" s="49"/>
      <c r="J15" s="48"/>
      <c r="K15" s="47"/>
      <c r="L15" s="52"/>
    </row>
    <row r="16" spans="1:13">
      <c r="A16" s="80">
        <v>41395</v>
      </c>
      <c r="B16" s="79">
        <v>190914.86</v>
      </c>
      <c r="C16" s="93">
        <v>2047.3443431635387</v>
      </c>
      <c r="D16" s="94"/>
      <c r="E16" s="80">
        <v>41395</v>
      </c>
      <c r="F16" s="79">
        <v>79872.570000000007</v>
      </c>
      <c r="G16" s="93">
        <v>856.54230563002693</v>
      </c>
      <c r="H16" s="50"/>
      <c r="I16" s="49"/>
      <c r="J16" s="48"/>
      <c r="K16" s="47"/>
      <c r="L16" s="52"/>
    </row>
    <row r="17" spans="1:12">
      <c r="A17" s="80">
        <v>41426</v>
      </c>
      <c r="B17" s="79">
        <v>176705.55</v>
      </c>
      <c r="C17" s="93">
        <v>1894.9656836461124</v>
      </c>
      <c r="D17" s="94"/>
      <c r="E17" s="80">
        <v>41426</v>
      </c>
      <c r="F17" s="79">
        <v>76437.13</v>
      </c>
      <c r="G17" s="93">
        <v>819.70112600536197</v>
      </c>
      <c r="H17" s="50"/>
      <c r="I17" s="49"/>
      <c r="J17" s="48"/>
      <c r="K17" s="47"/>
      <c r="L17" s="52"/>
    </row>
    <row r="18" spans="1:12">
      <c r="A18" s="80">
        <v>41456</v>
      </c>
      <c r="B18" s="79">
        <v>210621.15000000002</v>
      </c>
      <c r="C18" s="93">
        <f>B18/93.25</f>
        <v>2258.671849865952</v>
      </c>
      <c r="D18" s="94"/>
      <c r="E18" s="80">
        <v>41456</v>
      </c>
      <c r="F18" s="79">
        <v>82627.37</v>
      </c>
      <c r="G18" s="93">
        <f>F18/93.25</f>
        <v>886.08439678284174</v>
      </c>
      <c r="H18" s="50"/>
      <c r="I18" s="49"/>
      <c r="J18" s="48"/>
      <c r="K18" s="47"/>
      <c r="L18" s="52"/>
    </row>
    <row r="19" spans="1:12">
      <c r="A19" s="80">
        <v>41487</v>
      </c>
      <c r="B19" s="79">
        <v>198175.82999999996</v>
      </c>
      <c r="C19" s="93">
        <f t="shared" ref="C19:C20" si="0">B19/93.25</f>
        <v>2125.2099731903481</v>
      </c>
      <c r="D19" s="94"/>
      <c r="E19" s="80">
        <v>41487</v>
      </c>
      <c r="F19" s="79">
        <v>95959.13</v>
      </c>
      <c r="G19" s="93">
        <f t="shared" ref="G19:G20" si="1">F19/93.25</f>
        <v>1029.0523324396784</v>
      </c>
      <c r="H19" s="50"/>
      <c r="I19" s="49"/>
      <c r="J19" s="48"/>
      <c r="K19" s="47"/>
      <c r="L19" s="52"/>
    </row>
    <row r="20" spans="1:12">
      <c r="A20" s="80">
        <v>41518</v>
      </c>
      <c r="B20" s="79">
        <v>186408.34999999995</v>
      </c>
      <c r="C20" s="93">
        <f t="shared" si="0"/>
        <v>1999.0171581769432</v>
      </c>
      <c r="D20" s="94"/>
      <c r="E20" s="80">
        <v>41518</v>
      </c>
      <c r="F20" s="79">
        <v>79977.100000000006</v>
      </c>
      <c r="G20" s="93">
        <f t="shared" si="1"/>
        <v>857.66327077747997</v>
      </c>
      <c r="H20" s="50"/>
      <c r="I20" s="49"/>
      <c r="J20" s="48"/>
      <c r="K20" s="47"/>
      <c r="L20" s="52"/>
    </row>
    <row r="21" spans="1:12">
      <c r="B21" s="76">
        <f>SUM(B9:B20)</f>
        <v>2202046.16</v>
      </c>
      <c r="C21" s="75">
        <f>SUM(C9:C20)</f>
        <v>23991.027810340864</v>
      </c>
      <c r="F21" s="76">
        <f>SUM(F9:F20)</f>
        <v>955691.73</v>
      </c>
      <c r="G21" s="75">
        <f>SUM(G9:G20)</f>
        <v>10404.862162849484</v>
      </c>
      <c r="I21" s="52"/>
      <c r="J21" s="43"/>
      <c r="K21" s="44"/>
      <c r="L21" s="52"/>
    </row>
    <row r="23" spans="1:12">
      <c r="A23" s="74"/>
      <c r="C23" s="73"/>
    </row>
    <row r="24" spans="1:12">
      <c r="A24" s="74" t="s">
        <v>541</v>
      </c>
      <c r="B24" s="72">
        <f>F21</f>
        <v>955691.73</v>
      </c>
      <c r="C24" s="71"/>
      <c r="D24" s="71"/>
    </row>
    <row r="25" spans="1:12">
      <c r="A25" s="74" t="s">
        <v>542</v>
      </c>
      <c r="B25" s="72">
        <f>B21</f>
        <v>2202046.16</v>
      </c>
      <c r="C25" s="71"/>
      <c r="D25" s="71"/>
    </row>
    <row r="26" spans="1:12">
      <c r="A26" s="74" t="s">
        <v>543</v>
      </c>
      <c r="B26" s="70">
        <f>SUM(B24:B25)</f>
        <v>3157737.89</v>
      </c>
      <c r="C26" s="71"/>
      <c r="D26" s="72"/>
    </row>
    <row r="27" spans="1:12">
      <c r="A27" s="74"/>
      <c r="C27" s="71"/>
      <c r="D27" s="71"/>
    </row>
    <row r="28" spans="1:12">
      <c r="A28" s="74" t="s">
        <v>544</v>
      </c>
      <c r="B28" s="72">
        <f>'[18]Income Statement'!AE63</f>
        <v>3157737.89</v>
      </c>
      <c r="C28" s="71"/>
      <c r="D28" s="71"/>
    </row>
    <row r="29" spans="1:12">
      <c r="A29" s="74" t="s">
        <v>545</v>
      </c>
      <c r="B29" s="69">
        <f>B26-B28</f>
        <v>0</v>
      </c>
      <c r="C29" s="68"/>
    </row>
    <row r="30" spans="1:12">
      <c r="E30" s="73"/>
    </row>
    <row r="31" spans="1:12" ht="15.75" thickBot="1">
      <c r="E31" s="73"/>
    </row>
    <row r="32" spans="1:12">
      <c r="A32" s="67" t="s">
        <v>546</v>
      </c>
      <c r="B32" s="66"/>
      <c r="C32" s="66"/>
      <c r="D32" s="66"/>
      <c r="E32" s="66"/>
      <c r="F32" s="86"/>
    </row>
    <row r="33" spans="1:6">
      <c r="A33" s="58"/>
      <c r="B33" s="57"/>
      <c r="C33" s="57"/>
      <c r="D33" s="57"/>
      <c r="E33" s="57"/>
      <c r="F33" s="89"/>
    </row>
    <row r="34" spans="1:6" ht="15" customHeight="1">
      <c r="A34" s="85"/>
      <c r="B34" s="65" t="s">
        <v>547</v>
      </c>
      <c r="C34" s="65" t="s">
        <v>548</v>
      </c>
      <c r="D34" s="65" t="s">
        <v>549</v>
      </c>
      <c r="E34" s="65" t="s">
        <v>550</v>
      </c>
      <c r="F34" s="84"/>
    </row>
    <row r="35" spans="1:6">
      <c r="A35" s="83" t="s">
        <v>551</v>
      </c>
      <c r="B35" s="64">
        <f>'[18]GH Reg DF Calc'!F113</f>
        <v>16034017.099368501</v>
      </c>
      <c r="C35" s="82">
        <f>B35/($B$35+$B$36)</f>
        <v>0.31308031821738963</v>
      </c>
      <c r="D35" s="64">
        <f>$C$21*C35</f>
        <v>7511.1186212237617</v>
      </c>
      <c r="E35" s="64">
        <f>$B$21*C35</f>
        <v>689417.31250218092</v>
      </c>
      <c r="F35" s="84"/>
    </row>
    <row r="36" spans="1:6">
      <c r="A36" s="83" t="s">
        <v>552</v>
      </c>
      <c r="B36" s="64">
        <f>'[18]GH Non-Reg DF Alloc'!F151</f>
        <v>35179732.748155177</v>
      </c>
      <c r="C36" s="82">
        <f>B36/($B$35+$B$36)</f>
        <v>0.68691968178261043</v>
      </c>
      <c r="D36" s="64">
        <f>$C$21*C36</f>
        <v>16479.909189117105</v>
      </c>
      <c r="E36" s="64">
        <f>$B$21*C36</f>
        <v>1512628.8474978195</v>
      </c>
      <c r="F36" s="84"/>
    </row>
    <row r="37" spans="1:6">
      <c r="A37" s="85"/>
      <c r="B37" s="64"/>
      <c r="C37" s="64"/>
      <c r="D37" s="63"/>
      <c r="E37" s="63"/>
      <c r="F37" s="62"/>
    </row>
    <row r="38" spans="1:6" ht="15.75" thickBot="1">
      <c r="A38" s="91" t="s">
        <v>553</v>
      </c>
      <c r="B38" s="61"/>
      <c r="C38" s="61"/>
      <c r="D38" s="61"/>
      <c r="E38" s="60"/>
      <c r="F38" s="59"/>
    </row>
    <row r="39" spans="1:6">
      <c r="B39" s="71"/>
      <c r="C39" s="71"/>
      <c r="D39" s="71"/>
      <c r="E39" s="71"/>
      <c r="F39" s="71"/>
    </row>
  </sheetData>
  <mergeCells count="3">
    <mergeCell ref="B7:C7"/>
    <mergeCell ref="F7:G7"/>
    <mergeCell ref="A5:G5"/>
  </mergeCells>
  <pageMargins left="0.7" right="0.7" top="0.75" bottom="0.75" header="0.3" footer="0.3"/>
  <pageSetup scale="9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200"/>
  <sheetViews>
    <sheetView topLeftCell="A172" zoomScale="85" zoomScaleNormal="85" workbookViewId="0"/>
  </sheetViews>
  <sheetFormatPr defaultRowHeight="15" outlineLevelCol="1"/>
  <cols>
    <col min="1" max="1" width="22.7109375" style="165" customWidth="1"/>
    <col min="2" max="2" width="29.140625" style="165" bestFit="1" customWidth="1"/>
    <col min="3" max="4" width="9.5703125" style="165" customWidth="1"/>
    <col min="5" max="5" width="2" style="165" customWidth="1"/>
    <col min="6" max="15" width="12" style="165" hidden="1" customWidth="1" outlineLevel="1"/>
    <col min="16" max="16" width="14.28515625" style="165" bestFit="1" customWidth="1" collapsed="1"/>
    <col min="17" max="17" width="9.140625" style="165" customWidth="1"/>
    <col min="18" max="27" width="8.42578125" style="165" hidden="1" customWidth="1" outlineLevel="1"/>
    <col min="28" max="28" width="9.140625" style="165" collapsed="1"/>
    <col min="29" max="31" width="9.140625" style="165" customWidth="1"/>
    <col min="32" max="16384" width="9.140625" style="35"/>
  </cols>
  <sheetData>
    <row r="1" spans="1:32">
      <c r="A1" s="208" t="s">
        <v>535</v>
      </c>
    </row>
    <row r="2" spans="1:32">
      <c r="A2" s="208" t="s">
        <v>536</v>
      </c>
    </row>
    <row r="3" spans="1:32" ht="12" customHeight="1">
      <c r="A3" s="87" t="s">
        <v>170</v>
      </c>
      <c r="B3" s="167"/>
      <c r="C3" s="168"/>
      <c r="D3" s="168"/>
      <c r="E3" s="167"/>
      <c r="F3" s="167"/>
      <c r="G3" s="167"/>
      <c r="H3" s="167"/>
      <c r="I3" s="167"/>
      <c r="J3" s="167"/>
      <c r="K3" s="167"/>
      <c r="L3" s="167"/>
      <c r="M3" s="167"/>
      <c r="N3" s="167"/>
      <c r="O3" s="167"/>
      <c r="P3" s="169"/>
      <c r="Q3" s="167"/>
      <c r="R3" s="167"/>
      <c r="S3" s="167"/>
      <c r="T3" s="167"/>
      <c r="U3" s="167"/>
      <c r="V3" s="167"/>
      <c r="W3" s="167"/>
      <c r="X3" s="167"/>
      <c r="Y3" s="167"/>
      <c r="Z3" s="167"/>
      <c r="AA3" s="167"/>
    </row>
    <row r="4" spans="1:32" ht="47.25" customHeight="1">
      <c r="A4" s="221" t="s">
        <v>554</v>
      </c>
      <c r="B4" s="221"/>
      <c r="C4" s="221"/>
      <c r="D4" s="221"/>
      <c r="E4" s="221"/>
      <c r="F4" s="221"/>
      <c r="G4" s="221"/>
      <c r="H4" s="167"/>
      <c r="I4" s="167"/>
      <c r="J4" s="167"/>
      <c r="K4" s="167"/>
      <c r="L4" s="167"/>
      <c r="M4" s="167"/>
      <c r="N4" s="167"/>
      <c r="O4" s="167"/>
      <c r="P4" s="167"/>
      <c r="Q4" s="167"/>
      <c r="R4" s="167"/>
      <c r="S4" s="167"/>
      <c r="T4" s="167"/>
      <c r="U4" s="167"/>
      <c r="V4" s="167"/>
      <c r="W4" s="167"/>
      <c r="X4" s="167"/>
      <c r="Y4" s="167"/>
      <c r="Z4" s="167"/>
      <c r="AA4" s="167"/>
    </row>
    <row r="5" spans="1:32" ht="12" customHeight="1">
      <c r="A5" s="170"/>
      <c r="B5" s="167"/>
      <c r="C5" s="168"/>
      <c r="D5" s="168"/>
      <c r="E5" s="167"/>
      <c r="F5" s="171"/>
      <c r="G5" s="167"/>
      <c r="H5" s="167"/>
      <c r="I5" s="167"/>
      <c r="J5" s="167"/>
      <c r="K5" s="167"/>
      <c r="L5" s="167"/>
      <c r="M5" s="167"/>
      <c r="N5" s="167"/>
      <c r="O5" s="167"/>
      <c r="P5" s="167"/>
      <c r="Q5" s="167"/>
      <c r="R5" s="167"/>
      <c r="S5" s="167"/>
      <c r="T5" s="167"/>
      <c r="U5" s="167"/>
      <c r="V5" s="167"/>
      <c r="W5" s="167"/>
      <c r="X5" s="167"/>
      <c r="Y5" s="167"/>
      <c r="Z5" s="167"/>
      <c r="AA5" s="167"/>
      <c r="AB5" s="172" t="s">
        <v>171</v>
      </c>
      <c r="AC5" s="172" t="s">
        <v>172</v>
      </c>
      <c r="AD5" s="172"/>
      <c r="AE5" s="166" t="s">
        <v>173</v>
      </c>
    </row>
    <row r="6" spans="1:32" ht="12" customHeight="1">
      <c r="A6" s="167"/>
      <c r="B6" s="173"/>
      <c r="C6" s="174" t="s">
        <v>174</v>
      </c>
      <c r="D6" s="174" t="s">
        <v>175</v>
      </c>
      <c r="E6" s="167"/>
      <c r="F6" s="175">
        <v>41183</v>
      </c>
      <c r="G6" s="175">
        <v>41214</v>
      </c>
      <c r="H6" s="175">
        <v>41244</v>
      </c>
      <c r="I6" s="175">
        <v>41275</v>
      </c>
      <c r="J6" s="175">
        <v>41306</v>
      </c>
      <c r="K6" s="175">
        <v>41334</v>
      </c>
      <c r="L6" s="175">
        <v>41365</v>
      </c>
      <c r="M6" s="175">
        <v>41395</v>
      </c>
      <c r="N6" s="175">
        <v>41426</v>
      </c>
      <c r="O6" s="175" t="s">
        <v>176</v>
      </c>
      <c r="P6" s="173" t="s">
        <v>15</v>
      </c>
      <c r="Q6" s="167"/>
      <c r="R6" s="175">
        <v>41183</v>
      </c>
      <c r="S6" s="175">
        <v>41214</v>
      </c>
      <c r="T6" s="175">
        <v>41244</v>
      </c>
      <c r="U6" s="175">
        <v>41275</v>
      </c>
      <c r="V6" s="175">
        <v>41306</v>
      </c>
      <c r="W6" s="175">
        <v>41334</v>
      </c>
      <c r="X6" s="175">
        <v>41365</v>
      </c>
      <c r="Y6" s="175">
        <v>41395</v>
      </c>
      <c r="Z6" s="175">
        <v>41426</v>
      </c>
      <c r="AA6" s="175" t="s">
        <v>176</v>
      </c>
      <c r="AB6" s="172" t="s">
        <v>177</v>
      </c>
      <c r="AC6" s="172" t="s">
        <v>177</v>
      </c>
      <c r="AD6" s="172" t="s">
        <v>178</v>
      </c>
      <c r="AE6" s="166" t="s">
        <v>179</v>
      </c>
    </row>
    <row r="7" spans="1:32" ht="12" customHeight="1">
      <c r="A7" s="174" t="s">
        <v>180</v>
      </c>
      <c r="B7" s="173" t="s">
        <v>181</v>
      </c>
      <c r="C7" s="176"/>
      <c r="D7" s="176"/>
      <c r="E7" s="173"/>
      <c r="F7" s="173" t="s">
        <v>182</v>
      </c>
      <c r="G7" s="173" t="s">
        <v>182</v>
      </c>
      <c r="H7" s="173" t="s">
        <v>182</v>
      </c>
      <c r="I7" s="173" t="s">
        <v>182</v>
      </c>
      <c r="J7" s="173" t="s">
        <v>182</v>
      </c>
      <c r="K7" s="173" t="s">
        <v>182</v>
      </c>
      <c r="L7" s="173" t="s">
        <v>182</v>
      </c>
      <c r="M7" s="173" t="s">
        <v>182</v>
      </c>
      <c r="N7" s="173" t="s">
        <v>182</v>
      </c>
      <c r="O7" s="173" t="s">
        <v>182</v>
      </c>
      <c r="P7" s="173" t="s">
        <v>182</v>
      </c>
      <c r="Q7" s="167"/>
      <c r="R7" s="173" t="s">
        <v>183</v>
      </c>
      <c r="S7" s="173" t="s">
        <v>183</v>
      </c>
      <c r="T7" s="173" t="s">
        <v>183</v>
      </c>
      <c r="U7" s="173" t="s">
        <v>183</v>
      </c>
      <c r="V7" s="173" t="s">
        <v>183</v>
      </c>
      <c r="W7" s="173" t="s">
        <v>183</v>
      </c>
      <c r="X7" s="173" t="s">
        <v>183</v>
      </c>
      <c r="Y7" s="173" t="s">
        <v>183</v>
      </c>
      <c r="Z7" s="173" t="s">
        <v>183</v>
      </c>
      <c r="AA7" s="173" t="s">
        <v>183</v>
      </c>
      <c r="AB7" s="172" t="s">
        <v>15</v>
      </c>
      <c r="AC7" s="172" t="s">
        <v>15</v>
      </c>
      <c r="AD7" s="172" t="s">
        <v>184</v>
      </c>
      <c r="AE7" s="166" t="s">
        <v>177</v>
      </c>
    </row>
    <row r="8" spans="1:32" s="38" customFormat="1" ht="12" customHeight="1">
      <c r="A8" s="179" t="s">
        <v>185</v>
      </c>
      <c r="B8" s="179" t="s">
        <v>185</v>
      </c>
      <c r="C8" s="168"/>
      <c r="D8" s="168"/>
      <c r="E8" s="177"/>
      <c r="F8" s="167"/>
      <c r="G8" s="167"/>
      <c r="H8" s="167"/>
      <c r="I8" s="167"/>
      <c r="J8" s="167"/>
      <c r="K8" s="167"/>
      <c r="L8" s="167"/>
      <c r="M8" s="167"/>
      <c r="N8" s="167"/>
      <c r="O8" s="167"/>
      <c r="P8" s="167"/>
      <c r="Q8" s="167"/>
      <c r="R8" s="167"/>
      <c r="S8" s="167"/>
      <c r="T8" s="167"/>
      <c r="U8" s="167"/>
      <c r="V8" s="167"/>
      <c r="W8" s="167"/>
      <c r="X8" s="167"/>
      <c r="Y8" s="167"/>
      <c r="Z8" s="167"/>
      <c r="AA8" s="167"/>
      <c r="AB8" s="165"/>
      <c r="AC8" s="167"/>
      <c r="AD8" s="167"/>
      <c r="AE8" s="167"/>
    </row>
    <row r="9" spans="1:32" s="38" customFormat="1" ht="12" customHeight="1">
      <c r="A9" s="179"/>
      <c r="B9" s="179"/>
      <c r="C9" s="168"/>
      <c r="D9" s="168"/>
      <c r="E9" s="177"/>
      <c r="F9" s="167"/>
      <c r="G9" s="167"/>
      <c r="H9" s="167"/>
      <c r="I9" s="167"/>
      <c r="J9" s="167"/>
      <c r="K9" s="167"/>
      <c r="L9" s="167"/>
      <c r="M9" s="167"/>
      <c r="N9" s="167"/>
      <c r="O9" s="167"/>
      <c r="P9" s="167"/>
      <c r="Q9" s="167"/>
      <c r="R9" s="167"/>
      <c r="S9" s="167"/>
      <c r="T9" s="167"/>
      <c r="U9" s="167"/>
      <c r="V9" s="167"/>
      <c r="W9" s="167"/>
      <c r="X9" s="167"/>
      <c r="Y9" s="167"/>
      <c r="Z9" s="167"/>
      <c r="AA9" s="167"/>
      <c r="AB9" s="165"/>
      <c r="AC9" s="167"/>
      <c r="AD9" s="167"/>
      <c r="AE9" s="167"/>
    </row>
    <row r="10" spans="1:32" s="38" customFormat="1" ht="12" customHeight="1">
      <c r="A10" s="180" t="s">
        <v>186</v>
      </c>
      <c r="B10" s="180" t="s">
        <v>186</v>
      </c>
      <c r="C10" s="181"/>
      <c r="D10" s="181"/>
      <c r="E10" s="181"/>
      <c r="F10" s="182"/>
      <c r="G10" s="182"/>
      <c r="H10" s="182"/>
      <c r="I10" s="182"/>
      <c r="J10" s="182"/>
      <c r="K10" s="182"/>
      <c r="L10" s="182"/>
      <c r="M10" s="182"/>
      <c r="N10" s="182"/>
      <c r="O10" s="182"/>
      <c r="P10" s="178"/>
      <c r="Q10" s="167"/>
      <c r="R10" s="182"/>
      <c r="S10" s="182"/>
      <c r="T10" s="182"/>
      <c r="U10" s="182"/>
      <c r="V10" s="182"/>
      <c r="W10" s="182"/>
      <c r="X10" s="182"/>
      <c r="Y10" s="182"/>
      <c r="Z10" s="182"/>
      <c r="AA10" s="182"/>
      <c r="AB10" s="165"/>
      <c r="AC10" s="167"/>
      <c r="AD10" s="167"/>
      <c r="AE10" s="167"/>
    </row>
    <row r="11" spans="1:32" s="38" customFormat="1" ht="12" customHeight="1">
      <c r="A11" s="183" t="s">
        <v>187</v>
      </c>
      <c r="B11" s="183" t="s">
        <v>188</v>
      </c>
      <c r="C11" s="181">
        <v>10.76</v>
      </c>
      <c r="D11" s="181">
        <v>10.98</v>
      </c>
      <c r="E11" s="181"/>
      <c r="F11" s="182">
        <v>1693.35</v>
      </c>
      <c r="G11" s="182">
        <v>1584.4199999999998</v>
      </c>
      <c r="H11" s="182">
        <v>1593.82</v>
      </c>
      <c r="I11" s="182">
        <v>1543.12</v>
      </c>
      <c r="J11" s="182">
        <v>1536.135</v>
      </c>
      <c r="K11" s="182">
        <v>1557.68</v>
      </c>
      <c r="L11" s="182">
        <v>1570.1399999999999</v>
      </c>
      <c r="M11" s="182">
        <v>1608.58</v>
      </c>
      <c r="N11" s="182">
        <v>1592.105</v>
      </c>
      <c r="O11" s="182">
        <v>4661.7650000000003</v>
      </c>
      <c r="P11" s="178">
        <f>SUM(F11:O11)</f>
        <v>18941.114999999998</v>
      </c>
      <c r="Q11" s="167"/>
      <c r="R11" s="182">
        <f t="shared" ref="R11:T26" si="0">IFERROR(F11/$C11,0)</f>
        <v>157.37453531598513</v>
      </c>
      <c r="S11" s="182">
        <f t="shared" si="0"/>
        <v>147.25092936802972</v>
      </c>
      <c r="T11" s="182">
        <f>IFERROR(H11/$C11,0)</f>
        <v>148.12453531598513</v>
      </c>
      <c r="U11" s="182">
        <f>IFERROR(I11/$D11,0)</f>
        <v>140.53916211293259</v>
      </c>
      <c r="V11" s="182">
        <f t="shared" ref="U11:AA26" si="1">IFERROR(J11/$D11,0)</f>
        <v>139.90300546448086</v>
      </c>
      <c r="W11" s="182">
        <f t="shared" si="1"/>
        <v>141.86520947176686</v>
      </c>
      <c r="X11" s="182">
        <f t="shared" si="1"/>
        <v>142.99999999999997</v>
      </c>
      <c r="Y11" s="182">
        <f t="shared" si="1"/>
        <v>146.50091074681237</v>
      </c>
      <c r="Z11" s="182">
        <f t="shared" si="1"/>
        <v>145.0004553734062</v>
      </c>
      <c r="AA11" s="182">
        <f>IFERROR(O11/$D11,0)</f>
        <v>424.56876138433518</v>
      </c>
      <c r="AB11" s="184">
        <f>SUM(R11:AA11)</f>
        <v>1734.1275045537341</v>
      </c>
      <c r="AC11" s="182">
        <f>AB11/12</f>
        <v>144.51062537947783</v>
      </c>
      <c r="AD11" s="167"/>
      <c r="AE11" s="178">
        <f>+P11/AB11</f>
        <v>10.922561893667885</v>
      </c>
      <c r="AF11" s="163"/>
    </row>
    <row r="12" spans="1:32" s="38" customFormat="1" ht="12" customHeight="1">
      <c r="A12" s="183" t="s">
        <v>189</v>
      </c>
      <c r="B12" s="183" t="s">
        <v>190</v>
      </c>
      <c r="C12" s="181">
        <v>12.76</v>
      </c>
      <c r="D12" s="181">
        <v>12.98</v>
      </c>
      <c r="E12" s="181"/>
      <c r="F12" s="182">
        <v>319</v>
      </c>
      <c r="G12" s="182">
        <v>315.80999999999995</v>
      </c>
      <c r="H12" s="182">
        <v>315.81</v>
      </c>
      <c r="I12" s="182">
        <v>314.05</v>
      </c>
      <c r="J12" s="182">
        <v>333</v>
      </c>
      <c r="K12" s="182">
        <v>315.21000000000004</v>
      </c>
      <c r="L12" s="182">
        <v>309.89999999999998</v>
      </c>
      <c r="M12" s="182">
        <v>301.78499999999997</v>
      </c>
      <c r="N12" s="182">
        <v>301.78499999999997</v>
      </c>
      <c r="O12" s="182">
        <v>892.36999999999989</v>
      </c>
      <c r="P12" s="178">
        <f t="shared" ref="P12:P75" si="2">SUM(F12:O12)</f>
        <v>3718.7199999999993</v>
      </c>
      <c r="Q12" s="167"/>
      <c r="R12" s="182">
        <f t="shared" si="0"/>
        <v>25</v>
      </c>
      <c r="S12" s="182">
        <f t="shared" si="0"/>
        <v>24.749999999999996</v>
      </c>
      <c r="T12" s="182">
        <f t="shared" si="0"/>
        <v>24.75</v>
      </c>
      <c r="U12" s="182">
        <f t="shared" si="1"/>
        <v>24.194915254237287</v>
      </c>
      <c r="V12" s="182">
        <f t="shared" si="1"/>
        <v>25.654853620955315</v>
      </c>
      <c r="W12" s="182">
        <f t="shared" si="1"/>
        <v>24.284283513097073</v>
      </c>
      <c r="X12" s="182">
        <f t="shared" si="1"/>
        <v>23.875192604006159</v>
      </c>
      <c r="Y12" s="182">
        <f t="shared" si="1"/>
        <v>23.249999999999996</v>
      </c>
      <c r="Z12" s="182">
        <f t="shared" si="1"/>
        <v>23.249999999999996</v>
      </c>
      <c r="AA12" s="182">
        <f t="shared" si="1"/>
        <v>68.749614791987668</v>
      </c>
      <c r="AB12" s="184">
        <f t="shared" ref="AB12:AB65" si="3">SUM(R12:AA12)</f>
        <v>287.75885978428352</v>
      </c>
      <c r="AC12" s="182">
        <f t="shared" ref="AC12:AC55" si="4">AB12/12</f>
        <v>23.979904982023626</v>
      </c>
      <c r="AD12" s="167"/>
      <c r="AE12" s="178">
        <f t="shared" ref="AE12:AE67" si="5">+P12/AB12</f>
        <v>12.923042587768498</v>
      </c>
      <c r="AF12" s="163"/>
    </row>
    <row r="13" spans="1:32" s="38" customFormat="1" ht="12.75" customHeight="1">
      <c r="A13" s="183" t="s">
        <v>191</v>
      </c>
      <c r="B13" s="183" t="s">
        <v>190</v>
      </c>
      <c r="C13" s="181">
        <v>12.76</v>
      </c>
      <c r="D13" s="181">
        <v>12.98</v>
      </c>
      <c r="E13" s="181"/>
      <c r="F13" s="182">
        <v>0</v>
      </c>
      <c r="G13" s="182">
        <v>0</v>
      </c>
      <c r="H13" s="182">
        <v>0</v>
      </c>
      <c r="I13" s="182">
        <v>0</v>
      </c>
      <c r="J13" s="182">
        <v>0</v>
      </c>
      <c r="K13" s="182">
        <v>0</v>
      </c>
      <c r="L13" s="182">
        <v>0</v>
      </c>
      <c r="M13" s="182">
        <v>0</v>
      </c>
      <c r="N13" s="182">
        <v>0</v>
      </c>
      <c r="O13" s="182">
        <v>0</v>
      </c>
      <c r="P13" s="178">
        <f t="shared" si="2"/>
        <v>0</v>
      </c>
      <c r="Q13" s="167"/>
      <c r="R13" s="182">
        <f t="shared" si="0"/>
        <v>0</v>
      </c>
      <c r="S13" s="182">
        <f t="shared" si="0"/>
        <v>0</v>
      </c>
      <c r="T13" s="182">
        <f t="shared" si="0"/>
        <v>0</v>
      </c>
      <c r="U13" s="182">
        <f t="shared" si="1"/>
        <v>0</v>
      </c>
      <c r="V13" s="182">
        <f t="shared" si="1"/>
        <v>0</v>
      </c>
      <c r="W13" s="182">
        <f t="shared" si="1"/>
        <v>0</v>
      </c>
      <c r="X13" s="182">
        <f t="shared" si="1"/>
        <v>0</v>
      </c>
      <c r="Y13" s="182">
        <f t="shared" si="1"/>
        <v>0</v>
      </c>
      <c r="Z13" s="182">
        <f t="shared" si="1"/>
        <v>0</v>
      </c>
      <c r="AA13" s="182">
        <f t="shared" si="1"/>
        <v>0</v>
      </c>
      <c r="AB13" s="184">
        <f t="shared" si="3"/>
        <v>0</v>
      </c>
      <c r="AC13" s="182">
        <f t="shared" si="4"/>
        <v>0</v>
      </c>
      <c r="AD13" s="167"/>
      <c r="AE13" s="178"/>
      <c r="AF13" s="163"/>
    </row>
    <row r="14" spans="1:32" s="38" customFormat="1" ht="12" customHeight="1">
      <c r="A14" s="183" t="s">
        <v>192</v>
      </c>
      <c r="B14" s="183" t="s">
        <v>193</v>
      </c>
      <c r="C14" s="181">
        <v>32.28</v>
      </c>
      <c r="D14" s="181">
        <v>32.94</v>
      </c>
      <c r="E14" s="181"/>
      <c r="F14" s="182">
        <v>32.28</v>
      </c>
      <c r="G14" s="182">
        <v>32.28</v>
      </c>
      <c r="H14" s="182">
        <v>32.28</v>
      </c>
      <c r="I14" s="182">
        <v>32.94</v>
      </c>
      <c r="J14" s="182">
        <v>32.94</v>
      </c>
      <c r="K14" s="182">
        <v>32.94</v>
      </c>
      <c r="L14" s="182">
        <v>32.94</v>
      </c>
      <c r="M14" s="182">
        <v>32.94</v>
      </c>
      <c r="N14" s="182">
        <v>32.94</v>
      </c>
      <c r="O14" s="182">
        <v>98.82</v>
      </c>
      <c r="P14" s="178">
        <f t="shared" si="2"/>
        <v>393.29999999999995</v>
      </c>
      <c r="Q14" s="167"/>
      <c r="R14" s="182">
        <f t="shared" si="0"/>
        <v>1</v>
      </c>
      <c r="S14" s="182">
        <f t="shared" si="0"/>
        <v>1</v>
      </c>
      <c r="T14" s="182">
        <f t="shared" si="0"/>
        <v>1</v>
      </c>
      <c r="U14" s="182">
        <f t="shared" si="1"/>
        <v>1</v>
      </c>
      <c r="V14" s="182">
        <f t="shared" si="1"/>
        <v>1</v>
      </c>
      <c r="W14" s="182">
        <f t="shared" si="1"/>
        <v>1</v>
      </c>
      <c r="X14" s="182">
        <f t="shared" si="1"/>
        <v>1</v>
      </c>
      <c r="Y14" s="182">
        <f t="shared" si="1"/>
        <v>1</v>
      </c>
      <c r="Z14" s="182">
        <f t="shared" si="1"/>
        <v>1</v>
      </c>
      <c r="AA14" s="182">
        <f t="shared" si="1"/>
        <v>3</v>
      </c>
      <c r="AB14" s="184">
        <f t="shared" si="3"/>
        <v>12</v>
      </c>
      <c r="AC14" s="182">
        <f t="shared" si="4"/>
        <v>1</v>
      </c>
      <c r="AD14" s="167"/>
      <c r="AE14" s="178">
        <f t="shared" si="5"/>
        <v>32.774999999999999</v>
      </c>
      <c r="AF14" s="164"/>
    </row>
    <row r="15" spans="1:32" s="38" customFormat="1" ht="12" customHeight="1">
      <c r="A15" s="183" t="s">
        <v>194</v>
      </c>
      <c r="B15" s="183" t="s">
        <v>195</v>
      </c>
      <c r="C15" s="181">
        <v>6.18</v>
      </c>
      <c r="D15" s="181">
        <v>6.26</v>
      </c>
      <c r="E15" s="181"/>
      <c r="F15" s="182">
        <v>2.09</v>
      </c>
      <c r="G15" s="182">
        <v>0</v>
      </c>
      <c r="H15" s="182">
        <v>0</v>
      </c>
      <c r="I15" s="182">
        <v>6.18</v>
      </c>
      <c r="J15" s="182">
        <v>6.3</v>
      </c>
      <c r="K15" s="182">
        <v>6.3</v>
      </c>
      <c r="L15" s="182">
        <v>-6.26</v>
      </c>
      <c r="M15" s="182">
        <v>6.26</v>
      </c>
      <c r="N15" s="182">
        <v>6.26</v>
      </c>
      <c r="O15" s="182">
        <v>18.78</v>
      </c>
      <c r="P15" s="178">
        <f t="shared" si="2"/>
        <v>45.910000000000004</v>
      </c>
      <c r="Q15" s="167"/>
      <c r="R15" s="182">
        <f t="shared" si="0"/>
        <v>0.33818770226537215</v>
      </c>
      <c r="S15" s="182">
        <f t="shared" si="0"/>
        <v>0</v>
      </c>
      <c r="T15" s="182">
        <f t="shared" si="0"/>
        <v>0</v>
      </c>
      <c r="U15" s="182">
        <f t="shared" si="1"/>
        <v>0.98722044728434499</v>
      </c>
      <c r="V15" s="182">
        <f t="shared" si="1"/>
        <v>1.0063897763578276</v>
      </c>
      <c r="W15" s="182">
        <f t="shared" si="1"/>
        <v>1.0063897763578276</v>
      </c>
      <c r="X15" s="182">
        <f t="shared" si="1"/>
        <v>-1</v>
      </c>
      <c r="Y15" s="182">
        <f t="shared" si="1"/>
        <v>1</v>
      </c>
      <c r="Z15" s="182">
        <f t="shared" si="1"/>
        <v>1</v>
      </c>
      <c r="AA15" s="182">
        <f t="shared" si="1"/>
        <v>3.0000000000000004</v>
      </c>
      <c r="AB15" s="184">
        <f t="shared" si="3"/>
        <v>7.3381877022653725</v>
      </c>
      <c r="AC15" s="182">
        <f t="shared" si="4"/>
        <v>0.61151564185544771</v>
      </c>
      <c r="AD15" s="167"/>
      <c r="AE15" s="178">
        <f t="shared" si="5"/>
        <v>6.2563131201764062</v>
      </c>
      <c r="AF15" s="163"/>
    </row>
    <row r="16" spans="1:32" s="38" customFormat="1" ht="12" customHeight="1">
      <c r="A16" s="183" t="s">
        <v>196</v>
      </c>
      <c r="B16" s="183" t="s">
        <v>195</v>
      </c>
      <c r="C16" s="181">
        <v>6.18</v>
      </c>
      <c r="D16" s="181">
        <v>6.26</v>
      </c>
      <c r="E16" s="181"/>
      <c r="F16" s="182">
        <v>6.18</v>
      </c>
      <c r="G16" s="182">
        <v>6.18</v>
      </c>
      <c r="H16" s="182">
        <v>6.18</v>
      </c>
      <c r="I16" s="182">
        <v>6.18</v>
      </c>
      <c r="J16" s="182">
        <v>6.3</v>
      </c>
      <c r="K16" s="182">
        <v>6.3</v>
      </c>
      <c r="L16" s="182">
        <v>6.26</v>
      </c>
      <c r="M16" s="182">
        <v>6.26</v>
      </c>
      <c r="N16" s="182">
        <v>6.26</v>
      </c>
      <c r="O16" s="182">
        <v>18.78</v>
      </c>
      <c r="P16" s="178">
        <f t="shared" si="2"/>
        <v>74.88</v>
      </c>
      <c r="Q16" s="167"/>
      <c r="R16" s="182">
        <f t="shared" si="0"/>
        <v>1</v>
      </c>
      <c r="S16" s="182">
        <f t="shared" si="0"/>
        <v>1</v>
      </c>
      <c r="T16" s="182">
        <f t="shared" si="0"/>
        <v>1</v>
      </c>
      <c r="U16" s="182">
        <f t="shared" si="1"/>
        <v>0.98722044728434499</v>
      </c>
      <c r="V16" s="182">
        <f t="shared" si="1"/>
        <v>1.0063897763578276</v>
      </c>
      <c r="W16" s="182">
        <f t="shared" si="1"/>
        <v>1.0063897763578276</v>
      </c>
      <c r="X16" s="182">
        <f t="shared" si="1"/>
        <v>1</v>
      </c>
      <c r="Y16" s="182">
        <f t="shared" si="1"/>
        <v>1</v>
      </c>
      <c r="Z16" s="182">
        <f t="shared" si="1"/>
        <v>1</v>
      </c>
      <c r="AA16" s="182">
        <f t="shared" si="1"/>
        <v>3.0000000000000004</v>
      </c>
      <c r="AB16" s="184">
        <f t="shared" si="3"/>
        <v>12</v>
      </c>
      <c r="AC16" s="182">
        <f t="shared" si="4"/>
        <v>1</v>
      </c>
      <c r="AD16" s="167"/>
      <c r="AE16" s="178">
        <f t="shared" si="5"/>
        <v>6.2399999999999993</v>
      </c>
      <c r="AF16" s="163"/>
    </row>
    <row r="17" spans="1:32" s="38" customFormat="1" ht="12" customHeight="1">
      <c r="A17" s="183" t="s">
        <v>197</v>
      </c>
      <c r="B17" s="183" t="s">
        <v>198</v>
      </c>
      <c r="C17" s="181">
        <v>8.18</v>
      </c>
      <c r="D17" s="181">
        <v>8.26</v>
      </c>
      <c r="E17" s="181"/>
      <c r="F17" s="182">
        <v>155.41999999999999</v>
      </c>
      <c r="G17" s="182">
        <v>147.24</v>
      </c>
      <c r="H17" s="182">
        <v>139.06</v>
      </c>
      <c r="I17" s="182">
        <v>156.06</v>
      </c>
      <c r="J17" s="182">
        <v>157.22</v>
      </c>
      <c r="K17" s="182">
        <v>153.17000000000002</v>
      </c>
      <c r="L17" s="182">
        <v>156.94</v>
      </c>
      <c r="M17" s="182">
        <v>165.20000000000002</v>
      </c>
      <c r="N17" s="182">
        <v>156.94</v>
      </c>
      <c r="O17" s="182">
        <v>466.69000000000005</v>
      </c>
      <c r="P17" s="178">
        <f t="shared" si="2"/>
        <v>1853.9400000000003</v>
      </c>
      <c r="Q17" s="167"/>
      <c r="R17" s="182">
        <f t="shared" si="0"/>
        <v>19</v>
      </c>
      <c r="S17" s="182">
        <f t="shared" si="0"/>
        <v>18</v>
      </c>
      <c r="T17" s="182">
        <f t="shared" si="0"/>
        <v>17</v>
      </c>
      <c r="U17" s="182">
        <f t="shared" si="1"/>
        <v>18.893462469733656</v>
      </c>
      <c r="V17" s="182">
        <f t="shared" si="1"/>
        <v>19.033898305084747</v>
      </c>
      <c r="W17" s="182">
        <f t="shared" si="1"/>
        <v>18.543583535108962</v>
      </c>
      <c r="X17" s="182">
        <f t="shared" si="1"/>
        <v>19</v>
      </c>
      <c r="Y17" s="182">
        <f t="shared" si="1"/>
        <v>20.000000000000004</v>
      </c>
      <c r="Z17" s="182">
        <f t="shared" si="1"/>
        <v>19</v>
      </c>
      <c r="AA17" s="182">
        <f t="shared" si="1"/>
        <v>56.500000000000007</v>
      </c>
      <c r="AB17" s="184">
        <f t="shared" si="3"/>
        <v>224.97094430992738</v>
      </c>
      <c r="AC17" s="182">
        <f t="shared" si="4"/>
        <v>18.747578692493949</v>
      </c>
      <c r="AD17" s="167"/>
      <c r="AE17" s="178">
        <f t="shared" si="5"/>
        <v>8.2407975202608892</v>
      </c>
      <c r="AF17" s="163"/>
    </row>
    <row r="18" spans="1:32" s="38" customFormat="1" ht="12" customHeight="1">
      <c r="A18" s="183" t="s">
        <v>199</v>
      </c>
      <c r="B18" s="183" t="s">
        <v>200</v>
      </c>
      <c r="C18" s="181">
        <v>6.18</v>
      </c>
      <c r="D18" s="181">
        <v>6.26</v>
      </c>
      <c r="E18" s="181"/>
      <c r="F18" s="182">
        <v>627.27</v>
      </c>
      <c r="G18" s="182">
        <v>614.91</v>
      </c>
      <c r="H18" s="182">
        <v>614.91000000000008</v>
      </c>
      <c r="I18" s="182">
        <v>614.80999999999995</v>
      </c>
      <c r="J18" s="182">
        <v>633.34</v>
      </c>
      <c r="K18" s="182">
        <v>642.65</v>
      </c>
      <c r="L18" s="182">
        <v>641.65</v>
      </c>
      <c r="M18" s="182">
        <v>654.16999999999996</v>
      </c>
      <c r="N18" s="182">
        <v>654.17000000000007</v>
      </c>
      <c r="O18" s="182">
        <v>1924.9500000000003</v>
      </c>
      <c r="P18" s="178">
        <f t="shared" si="2"/>
        <v>7622.83</v>
      </c>
      <c r="Q18" s="167"/>
      <c r="R18" s="182">
        <f t="shared" si="0"/>
        <v>101.5</v>
      </c>
      <c r="S18" s="182">
        <f t="shared" si="0"/>
        <v>99.5</v>
      </c>
      <c r="T18" s="182">
        <f t="shared" si="0"/>
        <v>99.500000000000014</v>
      </c>
      <c r="U18" s="182">
        <f t="shared" si="1"/>
        <v>98.212460063897751</v>
      </c>
      <c r="V18" s="182">
        <f t="shared" si="1"/>
        <v>101.17252396166135</v>
      </c>
      <c r="W18" s="182">
        <f t="shared" si="1"/>
        <v>102.65974440894568</v>
      </c>
      <c r="X18" s="182">
        <f t="shared" si="1"/>
        <v>102.5</v>
      </c>
      <c r="Y18" s="182">
        <f t="shared" si="1"/>
        <v>104.5</v>
      </c>
      <c r="Z18" s="182">
        <f t="shared" si="1"/>
        <v>104.50000000000001</v>
      </c>
      <c r="AA18" s="182">
        <f t="shared" si="1"/>
        <v>307.50000000000006</v>
      </c>
      <c r="AB18" s="184">
        <f t="shared" si="3"/>
        <v>1221.5447284345048</v>
      </c>
      <c r="AC18" s="182">
        <f t="shared" si="4"/>
        <v>101.79539403620873</v>
      </c>
      <c r="AD18" s="167"/>
      <c r="AE18" s="178">
        <f t="shared" si="5"/>
        <v>6.2403200002092358</v>
      </c>
      <c r="AF18" s="163"/>
    </row>
    <row r="19" spans="1:32" s="38" customFormat="1" ht="12" customHeight="1">
      <c r="A19" s="183" t="s">
        <v>201</v>
      </c>
      <c r="B19" s="183" t="s">
        <v>202</v>
      </c>
      <c r="C19" s="181">
        <v>17.36</v>
      </c>
      <c r="D19" s="181">
        <v>17.7</v>
      </c>
      <c r="E19" s="181"/>
      <c r="F19" s="182">
        <v>7465.05</v>
      </c>
      <c r="G19" s="182">
        <v>7219.84</v>
      </c>
      <c r="H19" s="182">
        <v>7150.15</v>
      </c>
      <c r="I19" s="182">
        <v>7073.7350000000006</v>
      </c>
      <c r="J19" s="182">
        <v>7122.4599999999991</v>
      </c>
      <c r="K19" s="182">
        <v>7046.3349999999991</v>
      </c>
      <c r="L19" s="182">
        <v>7073.2800000000007</v>
      </c>
      <c r="M19" s="182">
        <v>6984.8649999999998</v>
      </c>
      <c r="N19" s="182">
        <v>6969.375</v>
      </c>
      <c r="O19" s="182">
        <v>19959.484999999997</v>
      </c>
      <c r="P19" s="178">
        <f t="shared" si="2"/>
        <v>84064.574999999997</v>
      </c>
      <c r="Q19" s="167"/>
      <c r="R19" s="182">
        <f t="shared" si="0"/>
        <v>430.01440092165899</v>
      </c>
      <c r="S19" s="182">
        <f t="shared" si="0"/>
        <v>415.88940092165899</v>
      </c>
      <c r="T19" s="182">
        <f t="shared" si="0"/>
        <v>411.875</v>
      </c>
      <c r="U19" s="182">
        <f t="shared" si="1"/>
        <v>399.64604519774014</v>
      </c>
      <c r="V19" s="182">
        <f t="shared" si="1"/>
        <v>402.39887005649712</v>
      </c>
      <c r="W19" s="182">
        <f t="shared" si="1"/>
        <v>398.09802259887005</v>
      </c>
      <c r="X19" s="182">
        <f t="shared" si="1"/>
        <v>399.62033898305089</v>
      </c>
      <c r="Y19" s="182">
        <f t="shared" si="1"/>
        <v>394.62514124293784</v>
      </c>
      <c r="Z19" s="182">
        <f t="shared" si="1"/>
        <v>393.75</v>
      </c>
      <c r="AA19" s="182">
        <f t="shared" si="1"/>
        <v>1127.6545197740111</v>
      </c>
      <c r="AB19" s="184">
        <f t="shared" si="3"/>
        <v>4773.5717396964246</v>
      </c>
      <c r="AC19" s="182">
        <f t="shared" si="4"/>
        <v>397.79764497470205</v>
      </c>
      <c r="AD19" s="167"/>
      <c r="AE19" s="178">
        <f t="shared" si="5"/>
        <v>17.610414084893609</v>
      </c>
      <c r="AF19" s="163"/>
    </row>
    <row r="20" spans="1:32" s="38" customFormat="1" ht="12" customHeight="1">
      <c r="A20" s="183" t="s">
        <v>203</v>
      </c>
      <c r="B20" s="183" t="s">
        <v>204</v>
      </c>
      <c r="C20" s="181">
        <v>15.36</v>
      </c>
      <c r="D20" s="181">
        <v>15.7</v>
      </c>
      <c r="E20" s="181"/>
      <c r="F20" s="182">
        <v>10689.560000000001</v>
      </c>
      <c r="G20" s="182">
        <v>10656</v>
      </c>
      <c r="H20" s="182">
        <v>10496.52</v>
      </c>
      <c r="I20" s="182">
        <v>10230.985000000001</v>
      </c>
      <c r="J20" s="182">
        <v>10252.154999999999</v>
      </c>
      <c r="K20" s="182">
        <v>9950.6849999999995</v>
      </c>
      <c r="L20" s="182">
        <v>9977.3449999999993</v>
      </c>
      <c r="M20" s="182">
        <v>10036.239999999998</v>
      </c>
      <c r="N20" s="182">
        <v>10122.59</v>
      </c>
      <c r="O20" s="182">
        <v>29898.555</v>
      </c>
      <c r="P20" s="178">
        <f t="shared" si="2"/>
        <v>122310.63499999998</v>
      </c>
      <c r="Q20" s="167"/>
      <c r="R20" s="182">
        <f t="shared" si="0"/>
        <v>695.93489583333348</v>
      </c>
      <c r="S20" s="182">
        <f t="shared" si="0"/>
        <v>693.75</v>
      </c>
      <c r="T20" s="182">
        <f t="shared" si="0"/>
        <v>683.3671875</v>
      </c>
      <c r="U20" s="182">
        <f t="shared" si="1"/>
        <v>651.65509554140135</v>
      </c>
      <c r="V20" s="182">
        <f t="shared" si="1"/>
        <v>653.00350318471328</v>
      </c>
      <c r="W20" s="182">
        <f t="shared" si="1"/>
        <v>633.80159235668793</v>
      </c>
      <c r="X20" s="182">
        <f t="shared" si="1"/>
        <v>635.49968152866245</v>
      </c>
      <c r="Y20" s="182">
        <f t="shared" si="1"/>
        <v>639.25095541401265</v>
      </c>
      <c r="Z20" s="182">
        <f t="shared" si="1"/>
        <v>644.75095541401276</v>
      </c>
      <c r="AA20" s="182">
        <f t="shared" si="1"/>
        <v>1904.3665605095543</v>
      </c>
      <c r="AB20" s="184">
        <f t="shared" si="3"/>
        <v>7835.3804272823782</v>
      </c>
      <c r="AC20" s="182">
        <f t="shared" si="4"/>
        <v>652.94836894019818</v>
      </c>
      <c r="AD20" s="167"/>
      <c r="AE20" s="178">
        <f t="shared" si="5"/>
        <v>15.610044226330205</v>
      </c>
      <c r="AF20" s="163"/>
    </row>
    <row r="21" spans="1:32" s="38" customFormat="1" ht="12" customHeight="1">
      <c r="A21" s="183" t="s">
        <v>205</v>
      </c>
      <c r="B21" s="183" t="s">
        <v>206</v>
      </c>
      <c r="C21" s="181">
        <v>25.64</v>
      </c>
      <c r="D21" s="181">
        <v>26.18</v>
      </c>
      <c r="E21" s="181"/>
      <c r="F21" s="182">
        <v>826.8900000000001</v>
      </c>
      <c r="G21" s="182">
        <v>785.21999999999991</v>
      </c>
      <c r="H21" s="182">
        <v>782.02</v>
      </c>
      <c r="I21" s="182">
        <v>802.47</v>
      </c>
      <c r="J21" s="182">
        <v>806.52</v>
      </c>
      <c r="K21" s="182">
        <v>691.83</v>
      </c>
      <c r="L21" s="182">
        <v>710.13000000000011</v>
      </c>
      <c r="M21" s="182">
        <v>716.68</v>
      </c>
      <c r="N21" s="182">
        <v>716.68000000000006</v>
      </c>
      <c r="O21" s="182">
        <v>2297.2999999999997</v>
      </c>
      <c r="P21" s="178">
        <f t="shared" si="2"/>
        <v>9135.7400000000016</v>
      </c>
      <c r="Q21" s="167"/>
      <c r="R21" s="182">
        <f t="shared" si="0"/>
        <v>32.25</v>
      </c>
      <c r="S21" s="182">
        <f t="shared" si="0"/>
        <v>30.624804992199685</v>
      </c>
      <c r="T21" s="182">
        <f t="shared" si="0"/>
        <v>30.5</v>
      </c>
      <c r="U21" s="182">
        <f t="shared" si="1"/>
        <v>30.652024446142093</v>
      </c>
      <c r="V21" s="182">
        <f t="shared" si="1"/>
        <v>30.806722689075631</v>
      </c>
      <c r="W21" s="182">
        <f t="shared" si="1"/>
        <v>26.425897631779986</v>
      </c>
      <c r="X21" s="182">
        <f t="shared" si="1"/>
        <v>27.124904507257455</v>
      </c>
      <c r="Y21" s="182">
        <f t="shared" si="1"/>
        <v>27.375095492742549</v>
      </c>
      <c r="Z21" s="182">
        <f t="shared" si="1"/>
        <v>27.375095492742556</v>
      </c>
      <c r="AA21" s="182">
        <f t="shared" si="1"/>
        <v>87.750190985485091</v>
      </c>
      <c r="AB21" s="184">
        <f t="shared" si="3"/>
        <v>350.88473623742505</v>
      </c>
      <c r="AC21" s="182">
        <f t="shared" si="4"/>
        <v>29.240394686452088</v>
      </c>
      <c r="AD21" s="167"/>
      <c r="AE21" s="178">
        <f t="shared" si="5"/>
        <v>26.036299264435179</v>
      </c>
      <c r="AF21" s="163"/>
    </row>
    <row r="22" spans="1:32" s="38" customFormat="1" ht="12" customHeight="1">
      <c r="A22" s="183" t="s">
        <v>207</v>
      </c>
      <c r="B22" s="183" t="s">
        <v>208</v>
      </c>
      <c r="C22" s="181">
        <v>23.64</v>
      </c>
      <c r="D22" s="181">
        <v>24.18</v>
      </c>
      <c r="E22" s="181"/>
      <c r="F22" s="182">
        <v>437.34000000000003</v>
      </c>
      <c r="G22" s="182">
        <v>472.79999999999995</v>
      </c>
      <c r="H22" s="182">
        <v>484.62</v>
      </c>
      <c r="I22" s="182">
        <v>479.81999999999994</v>
      </c>
      <c r="J22" s="182">
        <v>519.01</v>
      </c>
      <c r="K22" s="182">
        <v>482.74</v>
      </c>
      <c r="L22" s="182">
        <v>441.28499999999997</v>
      </c>
      <c r="M22" s="182">
        <v>453.37499999999994</v>
      </c>
      <c r="N22" s="182">
        <v>459.42</v>
      </c>
      <c r="O22" s="182">
        <v>1378.26</v>
      </c>
      <c r="P22" s="178">
        <f t="shared" si="2"/>
        <v>5608.67</v>
      </c>
      <c r="Q22" s="167"/>
      <c r="R22" s="182">
        <f t="shared" si="0"/>
        <v>18.5</v>
      </c>
      <c r="S22" s="182">
        <f t="shared" si="0"/>
        <v>19.999999999999996</v>
      </c>
      <c r="T22" s="182">
        <f t="shared" si="0"/>
        <v>20.5</v>
      </c>
      <c r="U22" s="182">
        <f t="shared" si="1"/>
        <v>19.843672456575678</v>
      </c>
      <c r="V22" s="182">
        <f t="shared" si="1"/>
        <v>21.464433416046319</v>
      </c>
      <c r="W22" s="182">
        <f t="shared" si="1"/>
        <v>19.964433416046319</v>
      </c>
      <c r="X22" s="182">
        <f t="shared" si="1"/>
        <v>18.25</v>
      </c>
      <c r="Y22" s="182">
        <f t="shared" si="1"/>
        <v>18.749999999999996</v>
      </c>
      <c r="Z22" s="182">
        <f t="shared" si="1"/>
        <v>19</v>
      </c>
      <c r="AA22" s="182">
        <f t="shared" si="1"/>
        <v>57</v>
      </c>
      <c r="AB22" s="184">
        <f t="shared" si="3"/>
        <v>233.27253928866833</v>
      </c>
      <c r="AC22" s="182">
        <f t="shared" si="4"/>
        <v>19.439378274055695</v>
      </c>
      <c r="AD22" s="167"/>
      <c r="AE22" s="178">
        <f t="shared" si="5"/>
        <v>24.043421557903248</v>
      </c>
      <c r="AF22" s="163"/>
    </row>
    <row r="23" spans="1:32" s="38" customFormat="1" ht="12" customHeight="1">
      <c r="A23" s="183" t="s">
        <v>209</v>
      </c>
      <c r="B23" s="183" t="s">
        <v>210</v>
      </c>
      <c r="C23" s="181">
        <v>33.81</v>
      </c>
      <c r="D23" s="181">
        <v>34.69</v>
      </c>
      <c r="E23" s="181"/>
      <c r="F23" s="182">
        <v>135.24</v>
      </c>
      <c r="G23" s="182">
        <v>135.24</v>
      </c>
      <c r="H23" s="182">
        <v>135.24</v>
      </c>
      <c r="I23" s="182">
        <v>137.88</v>
      </c>
      <c r="J23" s="182">
        <v>139.19999999999999</v>
      </c>
      <c r="K23" s="182">
        <v>139.19999999999999</v>
      </c>
      <c r="L23" s="182">
        <v>138.76</v>
      </c>
      <c r="M23" s="182">
        <v>138.76</v>
      </c>
      <c r="N23" s="182">
        <v>138.76</v>
      </c>
      <c r="O23" s="182">
        <v>312.20999999999998</v>
      </c>
      <c r="P23" s="178">
        <f t="shared" si="2"/>
        <v>1550.49</v>
      </c>
      <c r="Q23" s="167"/>
      <c r="R23" s="182">
        <f t="shared" si="0"/>
        <v>4</v>
      </c>
      <c r="S23" s="182">
        <f t="shared" si="0"/>
        <v>4</v>
      </c>
      <c r="T23" s="182">
        <f t="shared" si="0"/>
        <v>4</v>
      </c>
      <c r="U23" s="182">
        <f t="shared" si="1"/>
        <v>3.9746324589218798</v>
      </c>
      <c r="V23" s="182">
        <f t="shared" si="1"/>
        <v>4.0126837705390601</v>
      </c>
      <c r="W23" s="182">
        <f t="shared" si="1"/>
        <v>4.0126837705390601</v>
      </c>
      <c r="X23" s="182">
        <f t="shared" si="1"/>
        <v>4</v>
      </c>
      <c r="Y23" s="182">
        <f t="shared" si="1"/>
        <v>4</v>
      </c>
      <c r="Z23" s="182">
        <f t="shared" si="1"/>
        <v>4</v>
      </c>
      <c r="AA23" s="182">
        <f t="shared" si="1"/>
        <v>9</v>
      </c>
      <c r="AB23" s="184">
        <f t="shared" si="3"/>
        <v>45</v>
      </c>
      <c r="AC23" s="182">
        <f t="shared" si="4"/>
        <v>3.75</v>
      </c>
      <c r="AD23" s="167"/>
      <c r="AE23" s="178">
        <f t="shared" si="5"/>
        <v>34.455333333333336</v>
      </c>
      <c r="AF23" s="163"/>
    </row>
    <row r="24" spans="1:32" s="38" customFormat="1" ht="12" customHeight="1">
      <c r="A24" s="183" t="s">
        <v>211</v>
      </c>
      <c r="B24" s="183" t="s">
        <v>212</v>
      </c>
      <c r="C24" s="181">
        <v>31.81</v>
      </c>
      <c r="D24" s="181">
        <v>32.69</v>
      </c>
      <c r="E24" s="181"/>
      <c r="F24" s="182">
        <v>163.03</v>
      </c>
      <c r="G24" s="182">
        <v>163.01999999999998</v>
      </c>
      <c r="H24" s="182">
        <v>111.34</v>
      </c>
      <c r="I24" s="182">
        <v>113.97499999999999</v>
      </c>
      <c r="J24" s="182">
        <v>131.19999999999999</v>
      </c>
      <c r="K24" s="182">
        <v>131.19999999999999</v>
      </c>
      <c r="L24" s="182">
        <v>130.76</v>
      </c>
      <c r="M24" s="182">
        <v>130.76</v>
      </c>
      <c r="N24" s="182">
        <v>130.76</v>
      </c>
      <c r="O24" s="182">
        <v>490.34999999999997</v>
      </c>
      <c r="P24" s="178">
        <f t="shared" si="2"/>
        <v>1696.395</v>
      </c>
      <c r="Q24" s="167"/>
      <c r="R24" s="182">
        <f t="shared" si="0"/>
        <v>5.1251178874567751</v>
      </c>
      <c r="S24" s="182">
        <f t="shared" si="0"/>
        <v>5.1248035209053757</v>
      </c>
      <c r="T24" s="182">
        <f t="shared" si="0"/>
        <v>3.5001571832756997</v>
      </c>
      <c r="U24" s="182">
        <f t="shared" si="1"/>
        <v>3.4865402263689202</v>
      </c>
      <c r="V24" s="182">
        <f t="shared" si="1"/>
        <v>4.0134597736310802</v>
      </c>
      <c r="W24" s="182">
        <f t="shared" si="1"/>
        <v>4.0134597736310802</v>
      </c>
      <c r="X24" s="182">
        <f t="shared" si="1"/>
        <v>4</v>
      </c>
      <c r="Y24" s="182">
        <f t="shared" si="1"/>
        <v>4</v>
      </c>
      <c r="Z24" s="182">
        <f t="shared" si="1"/>
        <v>4</v>
      </c>
      <c r="AA24" s="182">
        <f t="shared" si="1"/>
        <v>15</v>
      </c>
      <c r="AB24" s="184">
        <f t="shared" si="3"/>
        <v>52.263538365268928</v>
      </c>
      <c r="AC24" s="182">
        <f t="shared" si="4"/>
        <v>4.3552948637724107</v>
      </c>
      <c r="AD24" s="167"/>
      <c r="AE24" s="178">
        <f t="shared" si="5"/>
        <v>32.458479717617394</v>
      </c>
      <c r="AF24" s="163"/>
    </row>
    <row r="25" spans="1:32" s="38" customFormat="1" ht="12" customHeight="1">
      <c r="A25" s="183" t="s">
        <v>213</v>
      </c>
      <c r="B25" s="183" t="s">
        <v>214</v>
      </c>
      <c r="C25" s="181">
        <v>41.79</v>
      </c>
      <c r="D25" s="181">
        <v>43.01</v>
      </c>
      <c r="E25" s="181"/>
      <c r="F25" s="182">
        <v>83.58</v>
      </c>
      <c r="G25" s="182">
        <v>83.58</v>
      </c>
      <c r="H25" s="182">
        <v>83.58</v>
      </c>
      <c r="I25" s="182">
        <v>84.8</v>
      </c>
      <c r="J25" s="182">
        <v>86.63</v>
      </c>
      <c r="K25" s="182">
        <v>86.63</v>
      </c>
      <c r="L25" s="182">
        <v>86.02</v>
      </c>
      <c r="M25" s="182">
        <v>32.254999999999995</v>
      </c>
      <c r="N25" s="182">
        <v>32.254999999999995</v>
      </c>
      <c r="O25" s="182">
        <v>129.03</v>
      </c>
      <c r="P25" s="178">
        <f t="shared" si="2"/>
        <v>788.36</v>
      </c>
      <c r="Q25" s="167"/>
      <c r="R25" s="182">
        <f t="shared" si="0"/>
        <v>2</v>
      </c>
      <c r="S25" s="182">
        <f t="shared" si="0"/>
        <v>2</v>
      </c>
      <c r="T25" s="182">
        <f t="shared" si="0"/>
        <v>2</v>
      </c>
      <c r="U25" s="182">
        <f t="shared" si="1"/>
        <v>1.971634503603813</v>
      </c>
      <c r="V25" s="182">
        <f t="shared" si="1"/>
        <v>2.0141827481980936</v>
      </c>
      <c r="W25" s="182">
        <f t="shared" si="1"/>
        <v>2.0141827481980936</v>
      </c>
      <c r="X25" s="182">
        <f t="shared" si="1"/>
        <v>2</v>
      </c>
      <c r="Y25" s="182">
        <f t="shared" si="1"/>
        <v>0.74994187398279466</v>
      </c>
      <c r="Z25" s="182">
        <f t="shared" si="1"/>
        <v>0.74994187398279466</v>
      </c>
      <c r="AA25" s="182">
        <f t="shared" si="1"/>
        <v>3</v>
      </c>
      <c r="AB25" s="184">
        <f t="shared" si="3"/>
        <v>18.49988374796559</v>
      </c>
      <c r="AC25" s="182">
        <f t="shared" si="4"/>
        <v>1.5416569789971326</v>
      </c>
      <c r="AD25" s="167"/>
      <c r="AE25" s="178">
        <f t="shared" si="5"/>
        <v>42.614321837924791</v>
      </c>
      <c r="AF25" s="163"/>
    </row>
    <row r="26" spans="1:32" s="38" customFormat="1" ht="12" customHeight="1">
      <c r="A26" s="183" t="s">
        <v>215</v>
      </c>
      <c r="B26" s="183" t="s">
        <v>216</v>
      </c>
      <c r="C26" s="181">
        <v>39.79</v>
      </c>
      <c r="D26" s="181">
        <v>41.01</v>
      </c>
      <c r="E26" s="181"/>
      <c r="F26" s="182">
        <v>0</v>
      </c>
      <c r="G26" s="182">
        <v>0</v>
      </c>
      <c r="H26" s="182">
        <v>0</v>
      </c>
      <c r="I26" s="182">
        <v>0</v>
      </c>
      <c r="J26" s="182">
        <v>0</v>
      </c>
      <c r="K26" s="182">
        <v>0</v>
      </c>
      <c r="L26" s="182">
        <v>0</v>
      </c>
      <c r="M26" s="182">
        <v>0</v>
      </c>
      <c r="N26" s="182">
        <v>0</v>
      </c>
      <c r="O26" s="182">
        <v>0</v>
      </c>
      <c r="P26" s="178">
        <f t="shared" si="2"/>
        <v>0</v>
      </c>
      <c r="Q26" s="167"/>
      <c r="R26" s="182">
        <f t="shared" si="0"/>
        <v>0</v>
      </c>
      <c r="S26" s="182">
        <f t="shared" si="0"/>
        <v>0</v>
      </c>
      <c r="T26" s="182">
        <f t="shared" si="0"/>
        <v>0</v>
      </c>
      <c r="U26" s="182">
        <f t="shared" si="1"/>
        <v>0</v>
      </c>
      <c r="V26" s="182">
        <f t="shared" si="1"/>
        <v>0</v>
      </c>
      <c r="W26" s="182">
        <f t="shared" si="1"/>
        <v>0</v>
      </c>
      <c r="X26" s="182">
        <f t="shared" si="1"/>
        <v>0</v>
      </c>
      <c r="Y26" s="182">
        <f t="shared" si="1"/>
        <v>0</v>
      </c>
      <c r="Z26" s="182">
        <f t="shared" si="1"/>
        <v>0</v>
      </c>
      <c r="AA26" s="182">
        <f t="shared" si="1"/>
        <v>0</v>
      </c>
      <c r="AB26" s="184">
        <f t="shared" si="3"/>
        <v>0</v>
      </c>
      <c r="AC26" s="182">
        <f t="shared" si="4"/>
        <v>0</v>
      </c>
      <c r="AD26" s="167"/>
      <c r="AE26" s="178"/>
      <c r="AF26" s="163"/>
    </row>
    <row r="27" spans="1:32" s="38" customFormat="1" ht="12" customHeight="1">
      <c r="A27" s="183" t="s">
        <v>217</v>
      </c>
      <c r="B27" s="183" t="s">
        <v>218</v>
      </c>
      <c r="C27" s="181">
        <v>13.17</v>
      </c>
      <c r="D27" s="181">
        <v>13.34</v>
      </c>
      <c r="E27" s="181"/>
      <c r="F27" s="182">
        <v>632.16000000000008</v>
      </c>
      <c r="G27" s="182">
        <v>612.41</v>
      </c>
      <c r="H27" s="182">
        <v>618.98</v>
      </c>
      <c r="I27" s="182">
        <v>607.96500000000003</v>
      </c>
      <c r="J27" s="182">
        <v>589.98500000000001</v>
      </c>
      <c r="K27" s="182">
        <v>659.85500000000002</v>
      </c>
      <c r="L27" s="182">
        <v>663.66499999999996</v>
      </c>
      <c r="M27" s="182">
        <v>650.32499999999993</v>
      </c>
      <c r="N27" s="182">
        <v>625.64499999999998</v>
      </c>
      <c r="O27" s="182">
        <v>1806.2350000000004</v>
      </c>
      <c r="P27" s="178">
        <f t="shared" si="2"/>
        <v>7467.2250000000004</v>
      </c>
      <c r="Q27" s="167"/>
      <c r="R27" s="182">
        <f t="shared" ref="R27:T67" si="6">IFERROR(F27/$C27,0)</f>
        <v>48.000000000000007</v>
      </c>
      <c r="S27" s="182">
        <f t="shared" si="6"/>
        <v>46.500379650721335</v>
      </c>
      <c r="T27" s="182">
        <f t="shared" si="6"/>
        <v>46.99924069855733</v>
      </c>
      <c r="U27" s="182">
        <f t="shared" ref="U27:AA62" si="7">IFERROR(I27/$D27,0)</f>
        <v>45.574587706146929</v>
      </c>
      <c r="V27" s="182">
        <f t="shared" si="7"/>
        <v>44.226761619190405</v>
      </c>
      <c r="W27" s="182">
        <f t="shared" si="7"/>
        <v>49.464392803598201</v>
      </c>
      <c r="X27" s="182">
        <f t="shared" si="7"/>
        <v>49.75</v>
      </c>
      <c r="Y27" s="182">
        <f t="shared" si="7"/>
        <v>48.749999999999993</v>
      </c>
      <c r="Z27" s="182">
        <f t="shared" si="7"/>
        <v>46.89992503748126</v>
      </c>
      <c r="AA27" s="182">
        <f t="shared" si="7"/>
        <v>135.3999250374813</v>
      </c>
      <c r="AB27" s="184">
        <f t="shared" si="3"/>
        <v>561.56521255317671</v>
      </c>
      <c r="AC27" s="182">
        <f t="shared" si="4"/>
        <v>46.797101046098057</v>
      </c>
      <c r="AD27" s="167"/>
      <c r="AE27" s="178">
        <f t="shared" si="5"/>
        <v>13.297164484334758</v>
      </c>
      <c r="AF27" s="163"/>
    </row>
    <row r="28" spans="1:32" s="38" customFormat="1" ht="12" customHeight="1">
      <c r="A28" s="183" t="s">
        <v>219</v>
      </c>
      <c r="B28" s="183" t="s">
        <v>220</v>
      </c>
      <c r="C28" s="181">
        <v>11.17</v>
      </c>
      <c r="D28" s="181">
        <v>11.34</v>
      </c>
      <c r="E28" s="181"/>
      <c r="F28" s="182">
        <v>1728.56</v>
      </c>
      <c r="G28" s="182">
        <v>1731.35</v>
      </c>
      <c r="H28" s="182">
        <v>1681.0900000000001</v>
      </c>
      <c r="I28" s="182">
        <v>1731.1350000000002</v>
      </c>
      <c r="J28" s="182">
        <v>1772.4800000000002</v>
      </c>
      <c r="K28" s="182">
        <v>1786.66</v>
      </c>
      <c r="L28" s="182">
        <v>1820.0700000000002</v>
      </c>
      <c r="M28" s="182">
        <v>1814.4</v>
      </c>
      <c r="N28" s="182">
        <v>1788.885</v>
      </c>
      <c r="O28" s="182">
        <v>5473.869999999999</v>
      </c>
      <c r="P28" s="178">
        <f t="shared" si="2"/>
        <v>21328.5</v>
      </c>
      <c r="Q28" s="167"/>
      <c r="R28" s="182">
        <f t="shared" si="6"/>
        <v>154.75022381378693</v>
      </c>
      <c r="S28" s="182">
        <f t="shared" si="6"/>
        <v>155</v>
      </c>
      <c r="T28" s="182">
        <f t="shared" si="6"/>
        <v>150.50044762757386</v>
      </c>
      <c r="U28" s="182">
        <f t="shared" si="7"/>
        <v>152.65740740740742</v>
      </c>
      <c r="V28" s="182">
        <f t="shared" si="7"/>
        <v>156.30335097001765</v>
      </c>
      <c r="W28" s="182">
        <f t="shared" si="7"/>
        <v>157.55379188712524</v>
      </c>
      <c r="X28" s="182">
        <f t="shared" si="7"/>
        <v>160.50000000000003</v>
      </c>
      <c r="Y28" s="182">
        <f t="shared" si="7"/>
        <v>160</v>
      </c>
      <c r="Z28" s="182">
        <f t="shared" si="7"/>
        <v>157.75</v>
      </c>
      <c r="AA28" s="182">
        <f t="shared" si="7"/>
        <v>482.70458553791877</v>
      </c>
      <c r="AB28" s="184">
        <f t="shared" si="3"/>
        <v>1887.71980724383</v>
      </c>
      <c r="AC28" s="182">
        <f t="shared" si="4"/>
        <v>157.30998393698584</v>
      </c>
      <c r="AD28" s="167"/>
      <c r="AE28" s="178">
        <f t="shared" si="5"/>
        <v>11.29855178621065</v>
      </c>
      <c r="AF28" s="163"/>
    </row>
    <row r="29" spans="1:32" s="38" customFormat="1">
      <c r="A29" s="183" t="s">
        <v>221</v>
      </c>
      <c r="B29" s="183" t="s">
        <v>222</v>
      </c>
      <c r="C29" s="181">
        <v>9.27</v>
      </c>
      <c r="D29" s="181">
        <v>9.4</v>
      </c>
      <c r="E29" s="181"/>
      <c r="F29" s="182">
        <v>101.97</v>
      </c>
      <c r="G29" s="182">
        <v>88.070000000000007</v>
      </c>
      <c r="H29" s="182">
        <v>97.330000000000013</v>
      </c>
      <c r="I29" s="182">
        <v>107.125</v>
      </c>
      <c r="J29" s="182">
        <v>89.625</v>
      </c>
      <c r="K29" s="182">
        <v>84.924999999999997</v>
      </c>
      <c r="L29" s="182">
        <v>89.3</v>
      </c>
      <c r="M29" s="182">
        <v>63.8</v>
      </c>
      <c r="N29" s="182">
        <v>75.2</v>
      </c>
      <c r="O29" s="182">
        <v>240.4</v>
      </c>
      <c r="P29" s="178">
        <f t="shared" si="2"/>
        <v>1037.7449999999999</v>
      </c>
      <c r="Q29" s="167"/>
      <c r="R29" s="182">
        <f t="shared" si="6"/>
        <v>11</v>
      </c>
      <c r="S29" s="182">
        <f t="shared" si="6"/>
        <v>9.5005393743257827</v>
      </c>
      <c r="T29" s="182">
        <f t="shared" si="6"/>
        <v>10.499460625674219</v>
      </c>
      <c r="U29" s="182">
        <f t="shared" si="7"/>
        <v>11.396276595744681</v>
      </c>
      <c r="V29" s="182">
        <f t="shared" si="7"/>
        <v>9.5345744680851059</v>
      </c>
      <c r="W29" s="182">
        <f t="shared" si="7"/>
        <v>9.0345744680851059</v>
      </c>
      <c r="X29" s="182">
        <f t="shared" si="7"/>
        <v>9.5</v>
      </c>
      <c r="Y29" s="182">
        <f t="shared" si="7"/>
        <v>6.787234042553191</v>
      </c>
      <c r="Z29" s="182">
        <f t="shared" si="7"/>
        <v>8</v>
      </c>
      <c r="AA29" s="182">
        <f t="shared" si="7"/>
        <v>25.574468085106382</v>
      </c>
      <c r="AB29" s="184">
        <f t="shared" si="3"/>
        <v>110.82712765957447</v>
      </c>
      <c r="AC29" s="182">
        <f t="shared" si="4"/>
        <v>9.2355939716312054</v>
      </c>
      <c r="AD29" s="185">
        <f>AC29</f>
        <v>9.2355939716312054</v>
      </c>
      <c r="AE29" s="178">
        <f t="shared" si="5"/>
        <v>9.3636370617455764</v>
      </c>
    </row>
    <row r="30" spans="1:32" s="38" customFormat="1">
      <c r="A30" s="183" t="s">
        <v>223</v>
      </c>
      <c r="B30" s="183" t="s">
        <v>224</v>
      </c>
      <c r="C30" s="181">
        <v>11.27</v>
      </c>
      <c r="D30" s="181">
        <v>11.4</v>
      </c>
      <c r="E30" s="181"/>
      <c r="F30" s="182">
        <v>1008.6700000000001</v>
      </c>
      <c r="G30" s="182">
        <v>986.13000000000011</v>
      </c>
      <c r="H30" s="182">
        <v>986.11999999999989</v>
      </c>
      <c r="I30" s="182">
        <v>1005.1950000000001</v>
      </c>
      <c r="J30" s="182">
        <v>1039.22</v>
      </c>
      <c r="K30" s="182">
        <v>1033.52</v>
      </c>
      <c r="L30" s="182">
        <v>1007.8799999999999</v>
      </c>
      <c r="M30" s="182">
        <v>980.4</v>
      </c>
      <c r="N30" s="182">
        <v>963.30000000000007</v>
      </c>
      <c r="O30" s="182">
        <v>2964</v>
      </c>
      <c r="P30" s="178">
        <f t="shared" si="2"/>
        <v>11974.434999999999</v>
      </c>
      <c r="Q30" s="167"/>
      <c r="R30" s="182">
        <f t="shared" si="6"/>
        <v>89.500443655723174</v>
      </c>
      <c r="S30" s="182">
        <f t="shared" si="6"/>
        <v>87.500443655723174</v>
      </c>
      <c r="T30" s="182">
        <f t="shared" si="6"/>
        <v>87.49955634427684</v>
      </c>
      <c r="U30" s="182">
        <f t="shared" si="7"/>
        <v>88.174999999999997</v>
      </c>
      <c r="V30" s="182">
        <f t="shared" si="7"/>
        <v>91.159649122807011</v>
      </c>
      <c r="W30" s="182">
        <f t="shared" si="7"/>
        <v>90.659649122807011</v>
      </c>
      <c r="X30" s="182">
        <f t="shared" si="7"/>
        <v>88.410526315789454</v>
      </c>
      <c r="Y30" s="182">
        <f t="shared" si="7"/>
        <v>86</v>
      </c>
      <c r="Z30" s="182">
        <f t="shared" si="7"/>
        <v>84.5</v>
      </c>
      <c r="AA30" s="182">
        <f t="shared" si="7"/>
        <v>260</v>
      </c>
      <c r="AB30" s="184">
        <f t="shared" si="3"/>
        <v>1053.4052682171266</v>
      </c>
      <c r="AC30" s="182">
        <f t="shared" si="4"/>
        <v>87.783772351427217</v>
      </c>
      <c r="AD30" s="185">
        <f t="shared" ref="AD30:AD55" si="8">AC30</f>
        <v>87.783772351427217</v>
      </c>
      <c r="AE30" s="178">
        <f t="shared" si="5"/>
        <v>11.367358187097887</v>
      </c>
    </row>
    <row r="31" spans="1:32" s="38" customFormat="1">
      <c r="A31" s="183" t="s">
        <v>225</v>
      </c>
      <c r="B31" s="183" t="s">
        <v>226</v>
      </c>
      <c r="C31" s="181">
        <v>9.27</v>
      </c>
      <c r="D31" s="181">
        <v>9.4</v>
      </c>
      <c r="E31" s="181"/>
      <c r="F31" s="182">
        <v>4380.08</v>
      </c>
      <c r="G31" s="182">
        <v>4287.369999999999</v>
      </c>
      <c r="H31" s="182">
        <v>4280.74</v>
      </c>
      <c r="I31" s="182">
        <v>4294.71</v>
      </c>
      <c r="J31" s="182">
        <v>4310.3150000000005</v>
      </c>
      <c r="K31" s="182">
        <v>4357.1200000000008</v>
      </c>
      <c r="L31" s="182">
        <v>4248.8</v>
      </c>
      <c r="M31" s="182">
        <v>4361.5999999999995</v>
      </c>
      <c r="N31" s="182">
        <v>4502.6000000000004</v>
      </c>
      <c r="O31" s="182">
        <v>13719.300000000001</v>
      </c>
      <c r="P31" s="178">
        <f>SUM(F31:O31)</f>
        <v>52742.635000000002</v>
      </c>
      <c r="Q31" s="167"/>
      <c r="R31" s="182">
        <f t="shared" si="6"/>
        <v>472.5005393743258</v>
      </c>
      <c r="S31" s="182">
        <f t="shared" si="6"/>
        <v>462.49946062567415</v>
      </c>
      <c r="T31" s="182">
        <f t="shared" si="6"/>
        <v>461.78425026968716</v>
      </c>
      <c r="U31" s="182">
        <f t="shared" si="7"/>
        <v>456.88404255319148</v>
      </c>
      <c r="V31" s="182">
        <f t="shared" si="7"/>
        <v>458.54414893617025</v>
      </c>
      <c r="W31" s="182">
        <f t="shared" si="7"/>
        <v>463.52340425531924</v>
      </c>
      <c r="X31" s="182">
        <f t="shared" si="7"/>
        <v>452</v>
      </c>
      <c r="Y31" s="182">
        <f t="shared" si="7"/>
        <v>463.99999999999994</v>
      </c>
      <c r="Z31" s="182">
        <f t="shared" si="7"/>
        <v>479</v>
      </c>
      <c r="AA31" s="182">
        <f t="shared" si="7"/>
        <v>1459.5</v>
      </c>
      <c r="AB31" s="184">
        <f>SUM(R31:AA31)</f>
        <v>5630.2358460143678</v>
      </c>
      <c r="AC31" s="182">
        <f>AB31/12</f>
        <v>469.18632050119732</v>
      </c>
      <c r="AD31" s="185">
        <f>AC31</f>
        <v>469.18632050119732</v>
      </c>
      <c r="AE31" s="178">
        <f t="shared" si="5"/>
        <v>9.3677487839761469</v>
      </c>
    </row>
    <row r="32" spans="1:32" s="38" customFormat="1">
      <c r="A32" s="183" t="s">
        <v>227</v>
      </c>
      <c r="B32" s="183" t="s">
        <v>228</v>
      </c>
      <c r="C32" s="181">
        <v>22.54</v>
      </c>
      <c r="D32" s="181">
        <v>22.8</v>
      </c>
      <c r="E32" s="181"/>
      <c r="F32" s="182">
        <v>22.54</v>
      </c>
      <c r="G32" s="182">
        <v>22.54</v>
      </c>
      <c r="H32" s="182">
        <v>22.54</v>
      </c>
      <c r="I32" s="182">
        <v>22.54</v>
      </c>
      <c r="J32" s="182">
        <v>-11.27</v>
      </c>
      <c r="K32" s="182">
        <v>-11.27</v>
      </c>
      <c r="L32" s="182">
        <v>0</v>
      </c>
      <c r="M32" s="182">
        <v>0</v>
      </c>
      <c r="N32" s="182">
        <v>0</v>
      </c>
      <c r="O32" s="182">
        <v>0</v>
      </c>
      <c r="P32" s="178">
        <f t="shared" si="2"/>
        <v>67.62</v>
      </c>
      <c r="Q32" s="167"/>
      <c r="R32" s="182">
        <f t="shared" si="6"/>
        <v>1</v>
      </c>
      <c r="S32" s="182">
        <f t="shared" si="6"/>
        <v>1</v>
      </c>
      <c r="T32" s="182">
        <f t="shared" si="6"/>
        <v>1</v>
      </c>
      <c r="U32" s="182">
        <f t="shared" si="7"/>
        <v>0.98859649122807014</v>
      </c>
      <c r="V32" s="182">
        <f t="shared" si="7"/>
        <v>-0.49429824561403507</v>
      </c>
      <c r="W32" s="182">
        <f t="shared" si="7"/>
        <v>-0.49429824561403507</v>
      </c>
      <c r="X32" s="182">
        <f t="shared" si="7"/>
        <v>0</v>
      </c>
      <c r="Y32" s="182">
        <f t="shared" si="7"/>
        <v>0</v>
      </c>
      <c r="Z32" s="182">
        <f t="shared" si="7"/>
        <v>0</v>
      </c>
      <c r="AA32" s="182">
        <f t="shared" si="7"/>
        <v>0</v>
      </c>
      <c r="AB32" s="184">
        <f t="shared" si="3"/>
        <v>3</v>
      </c>
      <c r="AC32" s="182">
        <f t="shared" si="4"/>
        <v>0.25</v>
      </c>
      <c r="AD32" s="185">
        <f>AC32*2</f>
        <v>0.5</v>
      </c>
      <c r="AE32" s="178">
        <f t="shared" si="5"/>
        <v>22.540000000000003</v>
      </c>
    </row>
    <row r="33" spans="1:31" s="38" customFormat="1">
      <c r="A33" s="183" t="s">
        <v>229</v>
      </c>
      <c r="B33" s="183" t="s">
        <v>230</v>
      </c>
      <c r="C33" s="181">
        <v>24.24</v>
      </c>
      <c r="D33" s="181">
        <v>24.82</v>
      </c>
      <c r="E33" s="181"/>
      <c r="F33" s="182">
        <v>186.01</v>
      </c>
      <c r="G33" s="182">
        <v>169.68</v>
      </c>
      <c r="H33" s="182">
        <v>184.92</v>
      </c>
      <c r="I33" s="182">
        <v>147.76000000000002</v>
      </c>
      <c r="J33" s="182">
        <v>174.61</v>
      </c>
      <c r="K33" s="182">
        <v>174.61</v>
      </c>
      <c r="L33" s="182">
        <v>173.74</v>
      </c>
      <c r="M33" s="182">
        <v>238.89499999999998</v>
      </c>
      <c r="N33" s="182">
        <v>226.48500000000001</v>
      </c>
      <c r="O33" s="182">
        <v>533.65</v>
      </c>
      <c r="P33" s="178">
        <f t="shared" si="2"/>
        <v>2210.36</v>
      </c>
      <c r="Q33" s="167"/>
      <c r="R33" s="182">
        <f t="shared" si="6"/>
        <v>7.6736798679867988</v>
      </c>
      <c r="S33" s="182">
        <f t="shared" si="6"/>
        <v>7.0000000000000009</v>
      </c>
      <c r="T33" s="182">
        <f t="shared" si="6"/>
        <v>7.6287128712871288</v>
      </c>
      <c r="U33" s="182">
        <f t="shared" si="7"/>
        <v>5.9532634971796945</v>
      </c>
      <c r="V33" s="182">
        <f t="shared" si="7"/>
        <v>7.03505237711523</v>
      </c>
      <c r="W33" s="182">
        <f t="shared" si="7"/>
        <v>7.03505237711523</v>
      </c>
      <c r="X33" s="182">
        <f t="shared" si="7"/>
        <v>7</v>
      </c>
      <c r="Y33" s="182">
        <f t="shared" si="7"/>
        <v>9.6251007252215945</v>
      </c>
      <c r="Z33" s="182">
        <f t="shared" si="7"/>
        <v>9.1251007252215963</v>
      </c>
      <c r="AA33" s="182">
        <f t="shared" si="7"/>
        <v>21.500805801772763</v>
      </c>
      <c r="AB33" s="184">
        <f t="shared" si="3"/>
        <v>89.576768242900044</v>
      </c>
      <c r="AC33" s="182">
        <f t="shared" si="4"/>
        <v>7.4647306869083367</v>
      </c>
      <c r="AD33" s="185">
        <f t="shared" si="8"/>
        <v>7.4647306869083367</v>
      </c>
      <c r="AE33" s="178">
        <f t="shared" si="5"/>
        <v>24.675594390794465</v>
      </c>
    </row>
    <row r="34" spans="1:31" s="38" customFormat="1">
      <c r="A34" s="183" t="s">
        <v>231</v>
      </c>
      <c r="B34" s="183" t="s">
        <v>232</v>
      </c>
      <c r="C34" s="181">
        <v>26.24</v>
      </c>
      <c r="D34" s="181">
        <v>26.82</v>
      </c>
      <c r="E34" s="181"/>
      <c r="F34" s="182">
        <v>6412.4</v>
      </c>
      <c r="G34" s="182">
        <v>6271.36</v>
      </c>
      <c r="H34" s="182">
        <v>6166.4</v>
      </c>
      <c r="I34" s="182">
        <v>6137.37</v>
      </c>
      <c r="J34" s="182">
        <v>6341.24</v>
      </c>
      <c r="K34" s="182">
        <v>6270.41</v>
      </c>
      <c r="L34" s="182">
        <v>6168.6</v>
      </c>
      <c r="M34" s="182">
        <v>6074.7199999999993</v>
      </c>
      <c r="N34" s="182">
        <v>6121.665</v>
      </c>
      <c r="O34" s="182">
        <v>18395.584999999999</v>
      </c>
      <c r="P34" s="178">
        <f t="shared" si="2"/>
        <v>74359.75</v>
      </c>
      <c r="Q34" s="167"/>
      <c r="R34" s="182">
        <f t="shared" si="6"/>
        <v>244.375</v>
      </c>
      <c r="S34" s="182">
        <f t="shared" si="6"/>
        <v>239</v>
      </c>
      <c r="T34" s="182">
        <f t="shared" si="6"/>
        <v>235</v>
      </c>
      <c r="U34" s="182">
        <f t="shared" si="7"/>
        <v>228.83557046979865</v>
      </c>
      <c r="V34" s="182">
        <f t="shared" si="7"/>
        <v>236.43698732289334</v>
      </c>
      <c r="W34" s="182">
        <f t="shared" si="7"/>
        <v>233.79604772557792</v>
      </c>
      <c r="X34" s="182">
        <f t="shared" si="7"/>
        <v>230</v>
      </c>
      <c r="Y34" s="182">
        <f t="shared" si="7"/>
        <v>226.49962714392242</v>
      </c>
      <c r="Z34" s="182">
        <f t="shared" si="7"/>
        <v>228.25</v>
      </c>
      <c r="AA34" s="182">
        <f t="shared" si="7"/>
        <v>685.89056674123788</v>
      </c>
      <c r="AB34" s="184">
        <f t="shared" si="3"/>
        <v>2788.08379940343</v>
      </c>
      <c r="AC34" s="182">
        <f t="shared" si="4"/>
        <v>232.34031661695249</v>
      </c>
      <c r="AD34" s="185">
        <f t="shared" si="8"/>
        <v>232.34031661695249</v>
      </c>
      <c r="AE34" s="178">
        <f t="shared" si="5"/>
        <v>26.670557755800186</v>
      </c>
    </row>
    <row r="35" spans="1:31" s="38" customFormat="1">
      <c r="A35" s="183" t="s">
        <v>233</v>
      </c>
      <c r="B35" s="183" t="s">
        <v>234</v>
      </c>
      <c r="C35" s="181">
        <v>24.24</v>
      </c>
      <c r="D35" s="181">
        <v>24.82</v>
      </c>
      <c r="E35" s="181"/>
      <c r="F35" s="182">
        <v>22843.17</v>
      </c>
      <c r="G35" s="182">
        <v>22634.1</v>
      </c>
      <c r="H35" s="182">
        <v>22443.21</v>
      </c>
      <c r="I35" s="182">
        <v>22366.084999999999</v>
      </c>
      <c r="J35" s="182">
        <v>22431.225000000002</v>
      </c>
      <c r="K35" s="182">
        <v>22167.835000000003</v>
      </c>
      <c r="L35" s="182">
        <v>22252.41</v>
      </c>
      <c r="M35" s="182">
        <v>22170.48</v>
      </c>
      <c r="N35" s="182">
        <v>22547.510000000002</v>
      </c>
      <c r="O35" s="182">
        <v>69409.450000000012</v>
      </c>
      <c r="P35" s="178">
        <f t="shared" si="2"/>
        <v>271265.47500000003</v>
      </c>
      <c r="Q35" s="167"/>
      <c r="R35" s="182">
        <f t="shared" si="6"/>
        <v>942.375</v>
      </c>
      <c r="S35" s="182">
        <f t="shared" si="6"/>
        <v>933.75</v>
      </c>
      <c r="T35" s="182">
        <f t="shared" si="6"/>
        <v>925.875</v>
      </c>
      <c r="U35" s="182">
        <f t="shared" si="7"/>
        <v>901.13154713940366</v>
      </c>
      <c r="V35" s="182">
        <f t="shared" si="7"/>
        <v>903.75604351329582</v>
      </c>
      <c r="W35" s="182">
        <f t="shared" si="7"/>
        <v>893.14403706688165</v>
      </c>
      <c r="X35" s="182">
        <f t="shared" si="7"/>
        <v>896.55157131345686</v>
      </c>
      <c r="Y35" s="182">
        <f t="shared" si="7"/>
        <v>893.25060435132957</v>
      </c>
      <c r="Z35" s="182">
        <f t="shared" si="7"/>
        <v>908.44117647058829</v>
      </c>
      <c r="AA35" s="182">
        <f t="shared" si="7"/>
        <v>2796.5128928283648</v>
      </c>
      <c r="AB35" s="184">
        <f t="shared" si="3"/>
        <v>10994.787872683321</v>
      </c>
      <c r="AC35" s="182">
        <f t="shared" si="4"/>
        <v>916.23232272361008</v>
      </c>
      <c r="AD35" s="185">
        <f t="shared" si="8"/>
        <v>916.23232272361008</v>
      </c>
      <c r="AE35" s="178">
        <f t="shared" si="5"/>
        <v>24.67218814416259</v>
      </c>
    </row>
    <row r="36" spans="1:31" s="38" customFormat="1">
      <c r="A36" s="183" t="s">
        <v>235</v>
      </c>
      <c r="B36" s="183" t="s">
        <v>236</v>
      </c>
      <c r="C36" s="181">
        <v>48.48</v>
      </c>
      <c r="D36" s="181">
        <v>49.64</v>
      </c>
      <c r="E36" s="181"/>
      <c r="F36" s="182">
        <v>48.48</v>
      </c>
      <c r="G36" s="182">
        <v>48.48</v>
      </c>
      <c r="H36" s="182">
        <v>18.18</v>
      </c>
      <c r="I36" s="182">
        <v>18.18</v>
      </c>
      <c r="J36" s="182">
        <v>0</v>
      </c>
      <c r="K36" s="182">
        <v>0</v>
      </c>
      <c r="L36" s="182">
        <v>0</v>
      </c>
      <c r="M36" s="182">
        <v>0</v>
      </c>
      <c r="N36" s="182">
        <v>0</v>
      </c>
      <c r="O36" s="182">
        <v>0</v>
      </c>
      <c r="P36" s="178">
        <f t="shared" si="2"/>
        <v>133.32</v>
      </c>
      <c r="Q36" s="167"/>
      <c r="R36" s="182">
        <f t="shared" si="6"/>
        <v>1</v>
      </c>
      <c r="S36" s="182">
        <f t="shared" si="6"/>
        <v>1</v>
      </c>
      <c r="T36" s="182">
        <f t="shared" si="6"/>
        <v>0.375</v>
      </c>
      <c r="U36" s="182">
        <f t="shared" si="7"/>
        <v>0.36623690572119255</v>
      </c>
      <c r="V36" s="182">
        <f t="shared" si="7"/>
        <v>0</v>
      </c>
      <c r="W36" s="182">
        <f t="shared" si="7"/>
        <v>0</v>
      </c>
      <c r="X36" s="182">
        <f t="shared" si="7"/>
        <v>0</v>
      </c>
      <c r="Y36" s="182">
        <f t="shared" si="7"/>
        <v>0</v>
      </c>
      <c r="Z36" s="182">
        <f t="shared" si="7"/>
        <v>0</v>
      </c>
      <c r="AA36" s="182">
        <f t="shared" si="7"/>
        <v>0</v>
      </c>
      <c r="AB36" s="184">
        <f t="shared" si="3"/>
        <v>2.7412369057211925</v>
      </c>
      <c r="AC36" s="182">
        <f t="shared" si="4"/>
        <v>0.22843640881009938</v>
      </c>
      <c r="AD36" s="185">
        <f>AC36*2</f>
        <v>0.45687281762019877</v>
      </c>
      <c r="AE36" s="178">
        <f t="shared" si="5"/>
        <v>48.634979239390042</v>
      </c>
    </row>
    <row r="37" spans="1:31" s="38" customFormat="1">
      <c r="A37" s="183" t="s">
        <v>237</v>
      </c>
      <c r="B37" s="183" t="s">
        <v>238</v>
      </c>
      <c r="C37" s="181">
        <v>48.48</v>
      </c>
      <c r="D37" s="181">
        <v>49.64</v>
      </c>
      <c r="E37" s="181"/>
      <c r="F37" s="182">
        <v>345.41999999999996</v>
      </c>
      <c r="G37" s="182">
        <v>345.41999999999996</v>
      </c>
      <c r="H37" s="182">
        <v>418.14</v>
      </c>
      <c r="I37" s="182">
        <v>422.78</v>
      </c>
      <c r="J37" s="182">
        <v>410.98</v>
      </c>
      <c r="K37" s="182">
        <v>410.98</v>
      </c>
      <c r="L37" s="182">
        <v>335.06999999999994</v>
      </c>
      <c r="M37" s="182">
        <v>335.07</v>
      </c>
      <c r="N37" s="182">
        <v>347.48</v>
      </c>
      <c r="O37" s="182">
        <v>1005.2099999999998</v>
      </c>
      <c r="P37" s="178">
        <f t="shared" si="2"/>
        <v>4376.55</v>
      </c>
      <c r="Q37" s="167"/>
      <c r="R37" s="182">
        <f t="shared" si="6"/>
        <v>7.125</v>
      </c>
      <c r="S37" s="182">
        <f t="shared" si="6"/>
        <v>7.125</v>
      </c>
      <c r="T37" s="182">
        <f t="shared" si="6"/>
        <v>8.625</v>
      </c>
      <c r="U37" s="182">
        <f t="shared" si="7"/>
        <v>8.5169218372280415</v>
      </c>
      <c r="V37" s="182">
        <f t="shared" si="7"/>
        <v>8.2792103142626914</v>
      </c>
      <c r="W37" s="182">
        <f t="shared" si="7"/>
        <v>8.2792103142626914</v>
      </c>
      <c r="X37" s="182">
        <f t="shared" si="7"/>
        <v>6.7499999999999982</v>
      </c>
      <c r="Y37" s="182">
        <f t="shared" si="7"/>
        <v>6.75</v>
      </c>
      <c r="Z37" s="182">
        <f t="shared" si="7"/>
        <v>7</v>
      </c>
      <c r="AA37" s="182">
        <f t="shared" si="7"/>
        <v>20.249999999999996</v>
      </c>
      <c r="AB37" s="184">
        <f t="shared" si="3"/>
        <v>88.700342465753423</v>
      </c>
      <c r="AC37" s="182">
        <f t="shared" si="4"/>
        <v>7.3916952054794516</v>
      </c>
      <c r="AD37" s="185">
        <f>AC37*2</f>
        <v>14.783390410958903</v>
      </c>
      <c r="AE37" s="178">
        <f t="shared" si="5"/>
        <v>49.340846701801127</v>
      </c>
    </row>
    <row r="38" spans="1:31" s="38" customFormat="1">
      <c r="A38" s="183" t="s">
        <v>239</v>
      </c>
      <c r="B38" s="183" t="s">
        <v>240</v>
      </c>
      <c r="C38" s="181">
        <v>15.83</v>
      </c>
      <c r="D38" s="181">
        <v>16.12</v>
      </c>
      <c r="E38" s="181"/>
      <c r="F38" s="182">
        <v>91.67</v>
      </c>
      <c r="G38" s="182">
        <v>142.47</v>
      </c>
      <c r="H38" s="182">
        <v>142.47</v>
      </c>
      <c r="I38" s="182">
        <v>167.66499999999999</v>
      </c>
      <c r="J38" s="182">
        <v>178.375</v>
      </c>
      <c r="K38" s="182">
        <v>137.06</v>
      </c>
      <c r="L38" s="182">
        <v>193.44</v>
      </c>
      <c r="M38" s="182">
        <v>173.29000000000002</v>
      </c>
      <c r="N38" s="182">
        <v>99.289999999999992</v>
      </c>
      <c r="O38" s="182">
        <v>442.3</v>
      </c>
      <c r="P38" s="178">
        <f t="shared" si="2"/>
        <v>1768.03</v>
      </c>
      <c r="Q38" s="167"/>
      <c r="R38" s="182">
        <f t="shared" si="6"/>
        <v>5.7909033480732788</v>
      </c>
      <c r="S38" s="182">
        <f t="shared" si="6"/>
        <v>9</v>
      </c>
      <c r="T38" s="182">
        <f t="shared" si="6"/>
        <v>9</v>
      </c>
      <c r="U38" s="182">
        <f t="shared" si="7"/>
        <v>10.401054590570718</v>
      </c>
      <c r="V38" s="182">
        <f t="shared" si="7"/>
        <v>11.065446650124068</v>
      </c>
      <c r="W38" s="182">
        <f t="shared" si="7"/>
        <v>8.502481389578163</v>
      </c>
      <c r="X38" s="182">
        <f t="shared" si="7"/>
        <v>12</v>
      </c>
      <c r="Y38" s="182">
        <f t="shared" si="7"/>
        <v>10.75</v>
      </c>
      <c r="Z38" s="182">
        <f t="shared" si="7"/>
        <v>6.1594292803970214</v>
      </c>
      <c r="AA38" s="182">
        <f t="shared" si="7"/>
        <v>27.437965260545905</v>
      </c>
      <c r="AB38" s="184">
        <f t="shared" si="3"/>
        <v>110.10728051928916</v>
      </c>
      <c r="AC38" s="182">
        <f t="shared" si="4"/>
        <v>9.1756067099407641</v>
      </c>
      <c r="AD38" s="185">
        <f t="shared" si="8"/>
        <v>9.1756067099407641</v>
      </c>
      <c r="AE38" s="178">
        <f t="shared" si="5"/>
        <v>16.057339638774089</v>
      </c>
    </row>
    <row r="39" spans="1:31" s="38" customFormat="1">
      <c r="A39" s="183" t="s">
        <v>241</v>
      </c>
      <c r="B39" s="183" t="s">
        <v>242</v>
      </c>
      <c r="C39" s="181">
        <v>17.829999999999998</v>
      </c>
      <c r="D39" s="181">
        <v>18.12</v>
      </c>
      <c r="E39" s="181"/>
      <c r="F39" s="182">
        <v>5509.03</v>
      </c>
      <c r="G39" s="182">
        <v>5362.39</v>
      </c>
      <c r="H39" s="182">
        <v>5366.85</v>
      </c>
      <c r="I39" s="182">
        <v>5454.7</v>
      </c>
      <c r="J39" s="182">
        <v>5548.6450000000004</v>
      </c>
      <c r="K39" s="182">
        <v>5535.0499999999993</v>
      </c>
      <c r="L39" s="182">
        <v>5517.54</v>
      </c>
      <c r="M39" s="182">
        <v>5417.88</v>
      </c>
      <c r="N39" s="182">
        <v>5431.4699999999993</v>
      </c>
      <c r="O39" s="182">
        <v>15869.555</v>
      </c>
      <c r="P39" s="178">
        <f t="shared" si="2"/>
        <v>65013.11</v>
      </c>
      <c r="Q39" s="167"/>
      <c r="R39" s="182">
        <f t="shared" si="6"/>
        <v>308.97532249018508</v>
      </c>
      <c r="S39" s="182">
        <f t="shared" si="6"/>
        <v>300.75098149186766</v>
      </c>
      <c r="T39" s="182">
        <f t="shared" si="6"/>
        <v>301.00112170499165</v>
      </c>
      <c r="U39" s="182">
        <f t="shared" si="7"/>
        <v>301.03200883002205</v>
      </c>
      <c r="V39" s="182">
        <f t="shared" si="7"/>
        <v>306.2166114790287</v>
      </c>
      <c r="W39" s="182">
        <f t="shared" si="7"/>
        <v>305.46633554083877</v>
      </c>
      <c r="X39" s="182">
        <f t="shared" si="7"/>
        <v>304.5</v>
      </c>
      <c r="Y39" s="182">
        <f t="shared" si="7"/>
        <v>299</v>
      </c>
      <c r="Z39" s="182">
        <f t="shared" si="7"/>
        <v>299.74999999999994</v>
      </c>
      <c r="AA39" s="182">
        <f t="shared" si="7"/>
        <v>875.80325607064015</v>
      </c>
      <c r="AB39" s="184">
        <f t="shared" si="3"/>
        <v>3602.4956376075738</v>
      </c>
      <c r="AC39" s="182">
        <f t="shared" si="4"/>
        <v>300.20796980063113</v>
      </c>
      <c r="AD39" s="185">
        <f t="shared" si="8"/>
        <v>300.20796980063113</v>
      </c>
      <c r="AE39" s="178">
        <f t="shared" si="5"/>
        <v>18.046686669459888</v>
      </c>
    </row>
    <row r="40" spans="1:31" s="38" customFormat="1">
      <c r="A40" s="183" t="s">
        <v>243</v>
      </c>
      <c r="B40" s="183" t="s">
        <v>244</v>
      </c>
      <c r="C40" s="181">
        <v>15.83</v>
      </c>
      <c r="D40" s="181">
        <v>16.12</v>
      </c>
      <c r="E40" s="181"/>
      <c r="F40" s="182">
        <v>28719.63</v>
      </c>
      <c r="G40" s="182">
        <v>28709.760000000002</v>
      </c>
      <c r="H40" s="182">
        <v>28658.289999999997</v>
      </c>
      <c r="I40" s="182">
        <v>28785.989999999998</v>
      </c>
      <c r="J40" s="182">
        <v>29130.019999999993</v>
      </c>
      <c r="K40" s="182">
        <v>29704.525000000001</v>
      </c>
      <c r="L40" s="182">
        <v>30114.175000000003</v>
      </c>
      <c r="M40" s="182">
        <v>30732.78</v>
      </c>
      <c r="N40" s="182">
        <v>31048.670000000002</v>
      </c>
      <c r="O40" s="182">
        <v>92258.395000000004</v>
      </c>
      <c r="P40" s="178">
        <f t="shared" si="2"/>
        <v>357862.23499999999</v>
      </c>
      <c r="Q40" s="167"/>
      <c r="R40" s="182">
        <f t="shared" si="6"/>
        <v>1814.2533164876818</v>
      </c>
      <c r="S40" s="182">
        <f t="shared" si="6"/>
        <v>1813.6298168035378</v>
      </c>
      <c r="T40" s="182">
        <f t="shared" si="6"/>
        <v>1810.3783954516739</v>
      </c>
      <c r="U40" s="182">
        <f t="shared" si="7"/>
        <v>1785.7313895781635</v>
      </c>
      <c r="V40" s="182">
        <f t="shared" si="7"/>
        <v>1807.0732009925553</v>
      </c>
      <c r="W40" s="182">
        <f t="shared" si="7"/>
        <v>1842.7124689826303</v>
      </c>
      <c r="X40" s="182">
        <f t="shared" si="7"/>
        <v>1868.125</v>
      </c>
      <c r="Y40" s="182">
        <f t="shared" si="7"/>
        <v>1906.4999999999998</v>
      </c>
      <c r="Z40" s="182">
        <f t="shared" si="7"/>
        <v>1926.0961538461538</v>
      </c>
      <c r="AA40" s="182">
        <f t="shared" si="7"/>
        <v>5723.2254962779152</v>
      </c>
      <c r="AB40" s="184">
        <f t="shared" si="3"/>
        <v>22297.725238420313</v>
      </c>
      <c r="AC40" s="182">
        <f t="shared" si="4"/>
        <v>1858.1437698683594</v>
      </c>
      <c r="AD40" s="185">
        <f t="shared" si="8"/>
        <v>1858.1437698683594</v>
      </c>
      <c r="AE40" s="178">
        <f t="shared" si="5"/>
        <v>16.0492709984327</v>
      </c>
    </row>
    <row r="41" spans="1:31" s="38" customFormat="1">
      <c r="A41" s="183" t="s">
        <v>245</v>
      </c>
      <c r="B41" s="183" t="s">
        <v>246</v>
      </c>
      <c r="C41" s="181">
        <v>35.659999999999997</v>
      </c>
      <c r="D41" s="181">
        <v>36.24</v>
      </c>
      <c r="E41" s="181"/>
      <c r="F41" s="182">
        <v>35.659999999999997</v>
      </c>
      <c r="G41" s="182">
        <v>35.659999999999997</v>
      </c>
      <c r="H41" s="182">
        <v>35.659999999999997</v>
      </c>
      <c r="I41" s="182">
        <v>36.24</v>
      </c>
      <c r="J41" s="182">
        <v>36.24</v>
      </c>
      <c r="K41" s="182">
        <v>-18.12</v>
      </c>
      <c r="L41" s="182">
        <v>-18.12</v>
      </c>
      <c r="M41" s="182">
        <v>0</v>
      </c>
      <c r="N41" s="182">
        <v>0</v>
      </c>
      <c r="O41" s="182">
        <v>0</v>
      </c>
      <c r="P41" s="178">
        <f t="shared" si="2"/>
        <v>143.22</v>
      </c>
      <c r="Q41" s="167"/>
      <c r="R41" s="182">
        <f t="shared" si="6"/>
        <v>1</v>
      </c>
      <c r="S41" s="182">
        <f t="shared" si="6"/>
        <v>1</v>
      </c>
      <c r="T41" s="182">
        <f t="shared" si="6"/>
        <v>1</v>
      </c>
      <c r="U41" s="182">
        <f t="shared" si="7"/>
        <v>1</v>
      </c>
      <c r="V41" s="182">
        <f t="shared" si="7"/>
        <v>1</v>
      </c>
      <c r="W41" s="182">
        <f t="shared" si="7"/>
        <v>-0.5</v>
      </c>
      <c r="X41" s="182">
        <f t="shared" si="7"/>
        <v>-0.5</v>
      </c>
      <c r="Y41" s="182">
        <f t="shared" si="7"/>
        <v>0</v>
      </c>
      <c r="Z41" s="182">
        <f t="shared" si="7"/>
        <v>0</v>
      </c>
      <c r="AA41" s="182">
        <f t="shared" si="7"/>
        <v>0</v>
      </c>
      <c r="AB41" s="184">
        <f t="shared" si="3"/>
        <v>4</v>
      </c>
      <c r="AC41" s="182">
        <f t="shared" si="4"/>
        <v>0.33333333333333331</v>
      </c>
      <c r="AD41" s="185">
        <f>AC41*2</f>
        <v>0.66666666666666663</v>
      </c>
      <c r="AE41" s="178">
        <f t="shared" si="5"/>
        <v>35.805</v>
      </c>
    </row>
    <row r="42" spans="1:31" s="38" customFormat="1">
      <c r="A42" s="183" t="s">
        <v>247</v>
      </c>
      <c r="B42" s="183" t="s">
        <v>248</v>
      </c>
      <c r="C42" s="181">
        <v>31.66</v>
      </c>
      <c r="D42" s="181">
        <v>32.24</v>
      </c>
      <c r="E42" s="181"/>
      <c r="F42" s="182">
        <v>31.66</v>
      </c>
      <c r="G42" s="182">
        <v>31.66</v>
      </c>
      <c r="H42" s="182">
        <v>31.66</v>
      </c>
      <c r="I42" s="182">
        <v>31.66</v>
      </c>
      <c r="J42" s="182">
        <v>32.53</v>
      </c>
      <c r="K42" s="182">
        <v>32.53</v>
      </c>
      <c r="L42" s="182">
        <v>32.24</v>
      </c>
      <c r="M42" s="182">
        <v>32.24</v>
      </c>
      <c r="N42" s="182">
        <v>32.24</v>
      </c>
      <c r="O42" s="182">
        <v>96.72</v>
      </c>
      <c r="P42" s="178">
        <f t="shared" si="2"/>
        <v>385.14</v>
      </c>
      <c r="Q42" s="167"/>
      <c r="R42" s="182">
        <f t="shared" si="6"/>
        <v>1</v>
      </c>
      <c r="S42" s="182">
        <f t="shared" si="6"/>
        <v>1</v>
      </c>
      <c r="T42" s="182">
        <f t="shared" si="6"/>
        <v>1</v>
      </c>
      <c r="U42" s="182">
        <f t="shared" si="7"/>
        <v>0.98200992555831257</v>
      </c>
      <c r="V42" s="182">
        <f t="shared" si="7"/>
        <v>1.0089950372208436</v>
      </c>
      <c r="W42" s="182">
        <f t="shared" si="7"/>
        <v>1.0089950372208436</v>
      </c>
      <c r="X42" s="182">
        <f t="shared" si="7"/>
        <v>1</v>
      </c>
      <c r="Y42" s="182">
        <f t="shared" si="7"/>
        <v>1</v>
      </c>
      <c r="Z42" s="182">
        <f t="shared" si="7"/>
        <v>1</v>
      </c>
      <c r="AA42" s="182">
        <f t="shared" si="7"/>
        <v>3</v>
      </c>
      <c r="AB42" s="184">
        <f t="shared" si="3"/>
        <v>12</v>
      </c>
      <c r="AC42" s="182">
        <f t="shared" si="4"/>
        <v>1</v>
      </c>
      <c r="AD42" s="185">
        <f>AC42*2</f>
        <v>2</v>
      </c>
      <c r="AE42" s="178">
        <f t="shared" si="5"/>
        <v>32.094999999999999</v>
      </c>
    </row>
    <row r="43" spans="1:31" s="38" customFormat="1">
      <c r="A43" s="183" t="s">
        <v>249</v>
      </c>
      <c r="B43" s="183" t="s">
        <v>250</v>
      </c>
      <c r="C43" s="181">
        <v>53.49</v>
      </c>
      <c r="D43" s="181">
        <v>54.36</v>
      </c>
      <c r="E43" s="181"/>
      <c r="F43" s="182">
        <v>0</v>
      </c>
      <c r="G43" s="182">
        <v>0</v>
      </c>
      <c r="H43" s="182">
        <v>0</v>
      </c>
      <c r="I43" s="182">
        <v>0</v>
      </c>
      <c r="J43" s="182">
        <v>0</v>
      </c>
      <c r="K43" s="182">
        <v>0</v>
      </c>
      <c r="L43" s="182">
        <v>0</v>
      </c>
      <c r="M43" s="182">
        <v>67.95</v>
      </c>
      <c r="N43" s="182">
        <v>67.95</v>
      </c>
      <c r="O43" s="182">
        <v>163.07999999999998</v>
      </c>
      <c r="P43" s="178">
        <f t="shared" si="2"/>
        <v>298.98</v>
      </c>
      <c r="Q43" s="167"/>
      <c r="R43" s="182">
        <f t="shared" si="6"/>
        <v>0</v>
      </c>
      <c r="S43" s="182">
        <f t="shared" si="6"/>
        <v>0</v>
      </c>
      <c r="T43" s="182">
        <f t="shared" si="6"/>
        <v>0</v>
      </c>
      <c r="U43" s="182">
        <f t="shared" si="7"/>
        <v>0</v>
      </c>
      <c r="V43" s="182">
        <f t="shared" si="7"/>
        <v>0</v>
      </c>
      <c r="W43" s="182">
        <f t="shared" si="7"/>
        <v>0</v>
      </c>
      <c r="X43" s="182">
        <f t="shared" si="7"/>
        <v>0</v>
      </c>
      <c r="Y43" s="182">
        <f t="shared" si="7"/>
        <v>1.25</v>
      </c>
      <c r="Z43" s="182">
        <f t="shared" si="7"/>
        <v>1.25</v>
      </c>
      <c r="AA43" s="182">
        <f t="shared" si="7"/>
        <v>2.9999999999999996</v>
      </c>
      <c r="AB43" s="184">
        <f t="shared" si="3"/>
        <v>5.5</v>
      </c>
      <c r="AC43" s="182">
        <f t="shared" si="4"/>
        <v>0.45833333333333331</v>
      </c>
      <c r="AD43" s="185">
        <f>AC43*3</f>
        <v>1.375</v>
      </c>
      <c r="AE43" s="178">
        <f t="shared" si="5"/>
        <v>54.360000000000007</v>
      </c>
    </row>
    <row r="44" spans="1:31" s="38" customFormat="1">
      <c r="A44" s="183" t="s">
        <v>251</v>
      </c>
      <c r="B44" s="183" t="s">
        <v>252</v>
      </c>
      <c r="C44" s="181">
        <v>12.36</v>
      </c>
      <c r="D44" s="181">
        <v>12.55</v>
      </c>
      <c r="E44" s="181"/>
      <c r="F44" s="182">
        <v>74.16</v>
      </c>
      <c r="G44" s="182">
        <v>74.16</v>
      </c>
      <c r="H44" s="182">
        <v>74.16</v>
      </c>
      <c r="I44" s="182">
        <v>74.72999999999999</v>
      </c>
      <c r="J44" s="182">
        <v>75.585000000000008</v>
      </c>
      <c r="K44" s="182">
        <v>57.054999999999993</v>
      </c>
      <c r="L44" s="182">
        <v>75.300000000000011</v>
      </c>
      <c r="M44" s="182">
        <v>75.300000000000011</v>
      </c>
      <c r="N44" s="182">
        <v>75.300000000000011</v>
      </c>
      <c r="O44" s="182">
        <v>225.9</v>
      </c>
      <c r="P44" s="178">
        <f t="shared" si="2"/>
        <v>881.65</v>
      </c>
      <c r="Q44" s="167"/>
      <c r="R44" s="182">
        <f t="shared" si="6"/>
        <v>6</v>
      </c>
      <c r="S44" s="182">
        <f t="shared" si="6"/>
        <v>6</v>
      </c>
      <c r="T44" s="182">
        <f t="shared" si="6"/>
        <v>6</v>
      </c>
      <c r="U44" s="182">
        <f t="shared" si="7"/>
        <v>5.9545816733067713</v>
      </c>
      <c r="V44" s="182">
        <f t="shared" si="7"/>
        <v>6.0227091633466134</v>
      </c>
      <c r="W44" s="182">
        <f t="shared" si="7"/>
        <v>4.5462151394422303</v>
      </c>
      <c r="X44" s="182">
        <f t="shared" si="7"/>
        <v>6.0000000000000009</v>
      </c>
      <c r="Y44" s="182">
        <f t="shared" si="7"/>
        <v>6.0000000000000009</v>
      </c>
      <c r="Z44" s="182">
        <f t="shared" si="7"/>
        <v>6.0000000000000009</v>
      </c>
      <c r="AA44" s="182">
        <f t="shared" si="7"/>
        <v>18</v>
      </c>
      <c r="AB44" s="184">
        <f t="shared" si="3"/>
        <v>70.523505976095606</v>
      </c>
      <c r="AC44" s="182">
        <f t="shared" si="4"/>
        <v>5.8769588313413008</v>
      </c>
      <c r="AD44" s="185">
        <f t="shared" si="8"/>
        <v>5.8769588313413008</v>
      </c>
      <c r="AE44" s="178">
        <f t="shared" si="5"/>
        <v>12.501505530635997</v>
      </c>
    </row>
    <row r="45" spans="1:31" s="38" customFormat="1">
      <c r="A45" s="183" t="s">
        <v>253</v>
      </c>
      <c r="B45" s="183" t="s">
        <v>254</v>
      </c>
      <c r="C45" s="181">
        <v>14.36</v>
      </c>
      <c r="D45" s="181">
        <v>14.55</v>
      </c>
      <c r="E45" s="181"/>
      <c r="F45" s="182">
        <v>183.08999999999997</v>
      </c>
      <c r="G45" s="182">
        <v>183.08999999999997</v>
      </c>
      <c r="H45" s="182">
        <v>186.68</v>
      </c>
      <c r="I45" s="182">
        <v>188.58</v>
      </c>
      <c r="J45" s="182">
        <v>203.89</v>
      </c>
      <c r="K45" s="182">
        <v>189.33999999999997</v>
      </c>
      <c r="L45" s="182">
        <v>189.15</v>
      </c>
      <c r="M45" s="182">
        <v>189.14999999999998</v>
      </c>
      <c r="N45" s="182">
        <v>189.15</v>
      </c>
      <c r="O45" s="182">
        <v>538.35</v>
      </c>
      <c r="P45" s="178">
        <f t="shared" si="2"/>
        <v>2240.4699999999998</v>
      </c>
      <c r="Q45" s="167"/>
      <c r="R45" s="182">
        <f t="shared" si="6"/>
        <v>12.749999999999998</v>
      </c>
      <c r="S45" s="182">
        <f t="shared" si="6"/>
        <v>12.749999999999998</v>
      </c>
      <c r="T45" s="182">
        <f t="shared" si="6"/>
        <v>13.000000000000002</v>
      </c>
      <c r="U45" s="182">
        <f t="shared" si="7"/>
        <v>12.960824742268041</v>
      </c>
      <c r="V45" s="182">
        <f t="shared" si="7"/>
        <v>14.013058419243984</v>
      </c>
      <c r="W45" s="182">
        <f t="shared" si="7"/>
        <v>13.013058419243984</v>
      </c>
      <c r="X45" s="182">
        <f t="shared" si="7"/>
        <v>13</v>
      </c>
      <c r="Y45" s="182">
        <f t="shared" si="7"/>
        <v>12.999999999999998</v>
      </c>
      <c r="Z45" s="182">
        <f t="shared" si="7"/>
        <v>13</v>
      </c>
      <c r="AA45" s="182">
        <f t="shared" si="7"/>
        <v>37</v>
      </c>
      <c r="AB45" s="184">
        <f t="shared" si="3"/>
        <v>154.48694158075602</v>
      </c>
      <c r="AC45" s="182">
        <f t="shared" si="4"/>
        <v>12.873911798396335</v>
      </c>
      <c r="AD45" s="185">
        <f t="shared" si="8"/>
        <v>12.873911798396335</v>
      </c>
      <c r="AE45" s="178">
        <f t="shared" si="5"/>
        <v>14.502649719612862</v>
      </c>
    </row>
    <row r="46" spans="1:31" s="38" customFormat="1">
      <c r="A46" s="183" t="s">
        <v>255</v>
      </c>
      <c r="B46" s="183" t="s">
        <v>256</v>
      </c>
      <c r="C46" s="181">
        <v>12.36</v>
      </c>
      <c r="D46" s="181">
        <v>12.55</v>
      </c>
      <c r="E46" s="181"/>
      <c r="F46" s="182">
        <v>618</v>
      </c>
      <c r="G46" s="182">
        <v>624.18000000000006</v>
      </c>
      <c r="H46" s="182">
        <v>630.36</v>
      </c>
      <c r="I46" s="182">
        <v>625.03</v>
      </c>
      <c r="J46" s="182">
        <v>635.20000000000005</v>
      </c>
      <c r="K46" s="182">
        <v>653.92999999999995</v>
      </c>
      <c r="L46" s="182">
        <v>683.97499999999991</v>
      </c>
      <c r="M46" s="182">
        <v>690.25</v>
      </c>
      <c r="N46" s="182">
        <v>683.97500000000002</v>
      </c>
      <c r="O46" s="182">
        <v>1813.4749999999997</v>
      </c>
      <c r="P46" s="178">
        <f t="shared" si="2"/>
        <v>7658.3749999999991</v>
      </c>
      <c r="Q46" s="167"/>
      <c r="R46" s="182">
        <f t="shared" si="6"/>
        <v>50</v>
      </c>
      <c r="S46" s="182">
        <f t="shared" si="6"/>
        <v>50.500000000000007</v>
      </c>
      <c r="T46" s="182">
        <f t="shared" si="6"/>
        <v>51</v>
      </c>
      <c r="U46" s="182">
        <f t="shared" si="7"/>
        <v>49.803187250996011</v>
      </c>
      <c r="V46" s="182">
        <f t="shared" si="7"/>
        <v>50.613545816733065</v>
      </c>
      <c r="W46" s="182">
        <f t="shared" si="7"/>
        <v>52.105976095617521</v>
      </c>
      <c r="X46" s="182">
        <f t="shared" si="7"/>
        <v>54.499999999999993</v>
      </c>
      <c r="Y46" s="182">
        <f t="shared" si="7"/>
        <v>55</v>
      </c>
      <c r="Z46" s="182">
        <f t="shared" si="7"/>
        <v>54.5</v>
      </c>
      <c r="AA46" s="182">
        <f t="shared" si="7"/>
        <v>144.49999999999997</v>
      </c>
      <c r="AB46" s="184">
        <f t="shared" si="3"/>
        <v>612.52270916334658</v>
      </c>
      <c r="AC46" s="182">
        <f t="shared" si="4"/>
        <v>51.04355909694555</v>
      </c>
      <c r="AD46" s="185">
        <f t="shared" si="8"/>
        <v>51.04355909694555</v>
      </c>
      <c r="AE46" s="178">
        <f t="shared" si="5"/>
        <v>12.503005823997418</v>
      </c>
    </row>
    <row r="47" spans="1:31" s="38" customFormat="1">
      <c r="A47" s="183" t="s">
        <v>257</v>
      </c>
      <c r="B47" s="183" t="s">
        <v>258</v>
      </c>
      <c r="C47" s="181">
        <v>24.72</v>
      </c>
      <c r="D47" s="181">
        <v>25.1</v>
      </c>
      <c r="E47" s="181"/>
      <c r="F47" s="182">
        <v>24.72</v>
      </c>
      <c r="G47" s="182">
        <v>24.72</v>
      </c>
      <c r="H47" s="182">
        <v>24.72</v>
      </c>
      <c r="I47" s="182">
        <v>24.72</v>
      </c>
      <c r="J47" s="182">
        <v>-12.36</v>
      </c>
      <c r="K47" s="182">
        <v>-12.36</v>
      </c>
      <c r="L47" s="182">
        <v>0</v>
      </c>
      <c r="M47" s="182">
        <v>0</v>
      </c>
      <c r="N47" s="182">
        <v>0</v>
      </c>
      <c r="O47" s="182">
        <v>0</v>
      </c>
      <c r="P47" s="178">
        <f t="shared" si="2"/>
        <v>74.16</v>
      </c>
      <c r="Q47" s="167"/>
      <c r="R47" s="182">
        <f t="shared" si="6"/>
        <v>1</v>
      </c>
      <c r="S47" s="182">
        <f t="shared" si="6"/>
        <v>1</v>
      </c>
      <c r="T47" s="182">
        <f t="shared" si="6"/>
        <v>1</v>
      </c>
      <c r="U47" s="182">
        <f t="shared" si="7"/>
        <v>0.98486055776892423</v>
      </c>
      <c r="V47" s="182">
        <f t="shared" si="7"/>
        <v>-0.49243027888446211</v>
      </c>
      <c r="W47" s="182">
        <f t="shared" si="7"/>
        <v>-0.49243027888446211</v>
      </c>
      <c r="X47" s="182">
        <f t="shared" si="7"/>
        <v>0</v>
      </c>
      <c r="Y47" s="182">
        <f t="shared" si="7"/>
        <v>0</v>
      </c>
      <c r="Z47" s="182">
        <f t="shared" si="7"/>
        <v>0</v>
      </c>
      <c r="AA47" s="182">
        <f t="shared" si="7"/>
        <v>0</v>
      </c>
      <c r="AB47" s="184">
        <f t="shared" si="3"/>
        <v>3</v>
      </c>
      <c r="AC47" s="182">
        <f t="shared" si="4"/>
        <v>0.25</v>
      </c>
      <c r="AD47" s="185">
        <f>AC47*2</f>
        <v>0.5</v>
      </c>
      <c r="AE47" s="178">
        <f t="shared" si="5"/>
        <v>24.72</v>
      </c>
    </row>
    <row r="48" spans="1:31" s="38" customFormat="1">
      <c r="A48" s="183" t="s">
        <v>259</v>
      </c>
      <c r="B48" s="183" t="s">
        <v>260</v>
      </c>
      <c r="C48" s="181">
        <v>33.369999999999997</v>
      </c>
      <c r="D48" s="181">
        <v>34.18</v>
      </c>
      <c r="E48" s="181"/>
      <c r="F48" s="182">
        <v>0</v>
      </c>
      <c r="G48" s="182">
        <v>0</v>
      </c>
      <c r="H48" s="182">
        <v>0</v>
      </c>
      <c r="I48" s="182">
        <v>0</v>
      </c>
      <c r="J48" s="182">
        <v>0</v>
      </c>
      <c r="K48" s="182">
        <v>0</v>
      </c>
      <c r="L48" s="182">
        <v>0</v>
      </c>
      <c r="M48" s="182">
        <v>-19.105</v>
      </c>
      <c r="N48" s="182">
        <v>-19.105</v>
      </c>
      <c r="O48" s="182">
        <v>38.454999999999998</v>
      </c>
      <c r="P48" s="178">
        <f t="shared" si="2"/>
        <v>0.24499999999999744</v>
      </c>
      <c r="Q48" s="167"/>
      <c r="R48" s="182">
        <f t="shared" si="6"/>
        <v>0</v>
      </c>
      <c r="S48" s="182">
        <f t="shared" si="6"/>
        <v>0</v>
      </c>
      <c r="T48" s="182">
        <f t="shared" si="6"/>
        <v>0</v>
      </c>
      <c r="U48" s="182">
        <f t="shared" si="7"/>
        <v>0</v>
      </c>
      <c r="V48" s="182">
        <f t="shared" si="7"/>
        <v>0</v>
      </c>
      <c r="W48" s="182">
        <f t="shared" si="7"/>
        <v>0</v>
      </c>
      <c r="X48" s="182">
        <f t="shared" si="7"/>
        <v>0</v>
      </c>
      <c r="Y48" s="182">
        <f t="shared" si="7"/>
        <v>-0.55895260386190759</v>
      </c>
      <c r="Z48" s="182">
        <f t="shared" si="7"/>
        <v>-0.55895260386190759</v>
      </c>
      <c r="AA48" s="182">
        <f t="shared" si="7"/>
        <v>1.1250731421884141</v>
      </c>
      <c r="AB48" s="184">
        <f t="shared" si="3"/>
        <v>7.1679344645989573E-3</v>
      </c>
      <c r="AC48" s="182">
        <f t="shared" si="4"/>
        <v>5.9732787204991311E-4</v>
      </c>
      <c r="AD48" s="185">
        <f t="shared" si="8"/>
        <v>5.9732787204991311E-4</v>
      </c>
      <c r="AE48" s="178">
        <f t="shared" si="5"/>
        <v>34.18000000000071</v>
      </c>
    </row>
    <row r="49" spans="1:31" s="38" customFormat="1">
      <c r="A49" s="183" t="s">
        <v>261</v>
      </c>
      <c r="B49" s="183" t="s">
        <v>262</v>
      </c>
      <c r="C49" s="181">
        <v>35.369999999999997</v>
      </c>
      <c r="D49" s="181">
        <v>36.18</v>
      </c>
      <c r="E49" s="181"/>
      <c r="F49" s="182">
        <v>1291.01</v>
      </c>
      <c r="G49" s="182">
        <v>1326.38</v>
      </c>
      <c r="H49" s="182">
        <v>1282.1499999999999</v>
      </c>
      <c r="I49" s="182">
        <v>1292.385</v>
      </c>
      <c r="J49" s="182">
        <v>1328.635</v>
      </c>
      <c r="K49" s="182">
        <v>1305.7250000000001</v>
      </c>
      <c r="L49" s="182">
        <v>1248.2149999999999</v>
      </c>
      <c r="M49" s="182">
        <v>1320.5700000000002</v>
      </c>
      <c r="N49" s="182">
        <v>1383.885</v>
      </c>
      <c r="O49" s="182">
        <v>3712.9700000000007</v>
      </c>
      <c r="P49" s="178">
        <f t="shared" si="2"/>
        <v>15491.925000000001</v>
      </c>
      <c r="Q49" s="167"/>
      <c r="R49" s="182">
        <f t="shared" si="6"/>
        <v>36.500141362736784</v>
      </c>
      <c r="S49" s="182">
        <f t="shared" si="6"/>
        <v>37.500141362736791</v>
      </c>
      <c r="T49" s="182">
        <f t="shared" si="6"/>
        <v>36.24964659315804</v>
      </c>
      <c r="U49" s="182">
        <f t="shared" si="7"/>
        <v>35.720978441127691</v>
      </c>
      <c r="V49" s="182">
        <f t="shared" si="7"/>
        <v>36.722913211719181</v>
      </c>
      <c r="W49" s="182">
        <f t="shared" si="7"/>
        <v>36.089690436705368</v>
      </c>
      <c r="X49" s="182">
        <f t="shared" si="7"/>
        <v>34.500138197899389</v>
      </c>
      <c r="Y49" s="182">
        <f t="shared" si="7"/>
        <v>36.500000000000007</v>
      </c>
      <c r="Z49" s="182">
        <f t="shared" si="7"/>
        <v>38.25</v>
      </c>
      <c r="AA49" s="182">
        <f t="shared" si="7"/>
        <v>102.62493090105032</v>
      </c>
      <c r="AB49" s="184">
        <f t="shared" si="3"/>
        <v>430.65858050713359</v>
      </c>
      <c r="AC49" s="182">
        <f t="shared" si="4"/>
        <v>35.88821504226113</v>
      </c>
      <c r="AD49" s="185">
        <f t="shared" si="8"/>
        <v>35.88821504226113</v>
      </c>
      <c r="AE49" s="178">
        <f t="shared" si="5"/>
        <v>35.972637493387609</v>
      </c>
    </row>
    <row r="50" spans="1:31" s="38" customFormat="1">
      <c r="A50" s="183" t="s">
        <v>263</v>
      </c>
      <c r="B50" s="183" t="s">
        <v>264</v>
      </c>
      <c r="C50" s="181">
        <v>33.369999999999997</v>
      </c>
      <c r="D50" s="181">
        <v>34.18</v>
      </c>
      <c r="E50" s="181"/>
      <c r="F50" s="182">
        <v>3783.33</v>
      </c>
      <c r="G50" s="182">
        <v>3833.38</v>
      </c>
      <c r="H50" s="182">
        <v>3562.25</v>
      </c>
      <c r="I50" s="182">
        <v>3478.0650000000001</v>
      </c>
      <c r="J50" s="182">
        <v>3631.9650000000001</v>
      </c>
      <c r="K50" s="182">
        <v>3690.3599999999997</v>
      </c>
      <c r="L50" s="182">
        <v>3729.91</v>
      </c>
      <c r="M50" s="182">
        <v>3853.8149999999996</v>
      </c>
      <c r="N50" s="182">
        <v>3879.45</v>
      </c>
      <c r="O50" s="182">
        <v>11904.204999999998</v>
      </c>
      <c r="P50" s="178">
        <f t="shared" si="2"/>
        <v>45346.729999999996</v>
      </c>
      <c r="Q50" s="167"/>
      <c r="R50" s="182">
        <f t="shared" si="6"/>
        <v>113.37518729397664</v>
      </c>
      <c r="S50" s="182">
        <f t="shared" si="6"/>
        <v>114.87503745879533</v>
      </c>
      <c r="T50" s="182">
        <f t="shared" si="6"/>
        <v>106.75007491759065</v>
      </c>
      <c r="U50" s="182">
        <f t="shared" si="7"/>
        <v>101.75731421884143</v>
      </c>
      <c r="V50" s="182">
        <f t="shared" si="7"/>
        <v>106.25994733762435</v>
      </c>
      <c r="W50" s="182">
        <f t="shared" si="7"/>
        <v>107.96840257460502</v>
      </c>
      <c r="X50" s="182">
        <f t="shared" si="7"/>
        <v>109.1255119953189</v>
      </c>
      <c r="Y50" s="182">
        <f t="shared" si="7"/>
        <v>112.7505851375073</v>
      </c>
      <c r="Z50" s="182">
        <f t="shared" si="7"/>
        <v>113.50058513750731</v>
      </c>
      <c r="AA50" s="182">
        <f t="shared" si="7"/>
        <v>348.27984201287296</v>
      </c>
      <c r="AB50" s="184">
        <f t="shared" si="3"/>
        <v>1334.6424880846398</v>
      </c>
      <c r="AC50" s="182">
        <f t="shared" si="4"/>
        <v>111.22020734038665</v>
      </c>
      <c r="AD50" s="185">
        <f t="shared" si="8"/>
        <v>111.22020734038665</v>
      </c>
      <c r="AE50" s="178">
        <f t="shared" si="5"/>
        <v>33.97668694414007</v>
      </c>
    </row>
    <row r="51" spans="1:31" s="38" customFormat="1">
      <c r="A51" s="183" t="s">
        <v>265</v>
      </c>
      <c r="B51" s="183" t="s">
        <v>266</v>
      </c>
      <c r="C51" s="181">
        <v>0</v>
      </c>
      <c r="D51" s="181">
        <v>0</v>
      </c>
      <c r="E51" s="181"/>
      <c r="F51" s="182">
        <v>0</v>
      </c>
      <c r="G51" s="182">
        <v>0</v>
      </c>
      <c r="H51" s="182">
        <v>-14.36</v>
      </c>
      <c r="I51" s="182">
        <v>0</v>
      </c>
      <c r="J51" s="182">
        <v>0</v>
      </c>
      <c r="K51" s="182">
        <v>0</v>
      </c>
      <c r="L51" s="182">
        <v>0</v>
      </c>
      <c r="M51" s="182">
        <v>0</v>
      </c>
      <c r="N51" s="182">
        <v>0</v>
      </c>
      <c r="O51" s="182">
        <v>0</v>
      </c>
      <c r="P51" s="178">
        <f t="shared" si="2"/>
        <v>-14.36</v>
      </c>
      <c r="Q51" s="167"/>
      <c r="R51" s="182">
        <f t="shared" si="6"/>
        <v>0</v>
      </c>
      <c r="S51" s="182">
        <f t="shared" si="6"/>
        <v>0</v>
      </c>
      <c r="T51" s="182">
        <f t="shared" si="6"/>
        <v>0</v>
      </c>
      <c r="U51" s="182">
        <f t="shared" si="7"/>
        <v>0</v>
      </c>
      <c r="V51" s="182">
        <f t="shared" si="7"/>
        <v>0</v>
      </c>
      <c r="W51" s="182">
        <f t="shared" si="7"/>
        <v>0</v>
      </c>
      <c r="X51" s="182">
        <f t="shared" si="7"/>
        <v>0</v>
      </c>
      <c r="Y51" s="182">
        <f t="shared" si="7"/>
        <v>0</v>
      </c>
      <c r="Z51" s="182">
        <f t="shared" si="7"/>
        <v>0</v>
      </c>
      <c r="AA51" s="182">
        <f t="shared" si="7"/>
        <v>0</v>
      </c>
      <c r="AB51" s="184">
        <f t="shared" si="3"/>
        <v>0</v>
      </c>
      <c r="AC51" s="182">
        <f t="shared" si="4"/>
        <v>0</v>
      </c>
      <c r="AD51" s="185">
        <f t="shared" si="8"/>
        <v>0</v>
      </c>
      <c r="AE51" s="178"/>
    </row>
    <row r="52" spans="1:31" s="38" customFormat="1">
      <c r="A52" s="183" t="s">
        <v>267</v>
      </c>
      <c r="B52" s="183" t="s">
        <v>268</v>
      </c>
      <c r="C52" s="181">
        <v>66.739999999999995</v>
      </c>
      <c r="D52" s="181">
        <v>68.36</v>
      </c>
      <c r="E52" s="181"/>
      <c r="F52" s="182">
        <v>116.78999999999999</v>
      </c>
      <c r="G52" s="182">
        <v>116.79999999999998</v>
      </c>
      <c r="H52" s="182">
        <v>133.47999999999999</v>
      </c>
      <c r="I52" s="182">
        <v>136.72</v>
      </c>
      <c r="J52" s="182">
        <v>136.72</v>
      </c>
      <c r="K52" s="182">
        <v>136.72</v>
      </c>
      <c r="L52" s="182">
        <v>136.72</v>
      </c>
      <c r="M52" s="182">
        <v>136.72</v>
      </c>
      <c r="N52" s="182">
        <v>136.72</v>
      </c>
      <c r="O52" s="182">
        <v>1175.4100000000001</v>
      </c>
      <c r="P52" s="178">
        <f t="shared" si="2"/>
        <v>2362.8000000000002</v>
      </c>
      <c r="Q52" s="167"/>
      <c r="R52" s="182">
        <f t="shared" si="6"/>
        <v>1.7499250824093497</v>
      </c>
      <c r="S52" s="182">
        <f t="shared" si="6"/>
        <v>1.7500749175906503</v>
      </c>
      <c r="T52" s="182">
        <f t="shared" si="6"/>
        <v>2</v>
      </c>
      <c r="U52" s="182">
        <f t="shared" si="7"/>
        <v>2</v>
      </c>
      <c r="V52" s="182">
        <f t="shared" si="7"/>
        <v>2</v>
      </c>
      <c r="W52" s="182">
        <f t="shared" si="7"/>
        <v>2</v>
      </c>
      <c r="X52" s="182">
        <f t="shared" si="7"/>
        <v>2</v>
      </c>
      <c r="Y52" s="182">
        <f t="shared" si="7"/>
        <v>2</v>
      </c>
      <c r="Z52" s="182">
        <f t="shared" si="7"/>
        <v>2</v>
      </c>
      <c r="AA52" s="182">
        <f t="shared" si="7"/>
        <v>17.19441193680515</v>
      </c>
      <c r="AB52" s="184">
        <f t="shared" si="3"/>
        <v>34.694411936805153</v>
      </c>
      <c r="AC52" s="182">
        <f t="shared" si="4"/>
        <v>2.8912009947337629</v>
      </c>
      <c r="AD52" s="185">
        <f>AC52*2</f>
        <v>5.7824019894675258</v>
      </c>
      <c r="AE52" s="178">
        <f t="shared" si="5"/>
        <v>68.103186308612777</v>
      </c>
    </row>
    <row r="53" spans="1:31" s="38" customFormat="1">
      <c r="A53" s="183" t="s">
        <v>269</v>
      </c>
      <c r="B53" s="183" t="s">
        <v>270</v>
      </c>
      <c r="C53" s="181">
        <v>20.5</v>
      </c>
      <c r="D53" s="181">
        <v>20.91</v>
      </c>
      <c r="E53" s="181"/>
      <c r="F53" s="182">
        <v>41</v>
      </c>
      <c r="G53" s="182">
        <v>41</v>
      </c>
      <c r="H53" s="182">
        <v>41</v>
      </c>
      <c r="I53" s="182">
        <v>41.41</v>
      </c>
      <c r="J53" s="182">
        <v>42.024999999999999</v>
      </c>
      <c r="K53" s="182">
        <v>42.024999999999999</v>
      </c>
      <c r="L53" s="182">
        <v>41.82</v>
      </c>
      <c r="M53" s="182">
        <v>41.82</v>
      </c>
      <c r="N53" s="182">
        <v>41.82</v>
      </c>
      <c r="O53" s="182">
        <v>125.46000000000001</v>
      </c>
      <c r="P53" s="178">
        <f t="shared" si="2"/>
        <v>499.38</v>
      </c>
      <c r="Q53" s="167"/>
      <c r="R53" s="182">
        <f t="shared" si="6"/>
        <v>2</v>
      </c>
      <c r="S53" s="182">
        <f t="shared" si="6"/>
        <v>2</v>
      </c>
      <c r="T53" s="182">
        <f t="shared" si="6"/>
        <v>2</v>
      </c>
      <c r="U53" s="182">
        <f t="shared" si="7"/>
        <v>1.9803921568627449</v>
      </c>
      <c r="V53" s="182">
        <f t="shared" si="7"/>
        <v>2.0098039215686274</v>
      </c>
      <c r="W53" s="182">
        <f t="shared" si="7"/>
        <v>2.0098039215686274</v>
      </c>
      <c r="X53" s="182">
        <f t="shared" si="7"/>
        <v>2</v>
      </c>
      <c r="Y53" s="182">
        <f t="shared" si="7"/>
        <v>2</v>
      </c>
      <c r="Z53" s="182">
        <f t="shared" si="7"/>
        <v>2</v>
      </c>
      <c r="AA53" s="182">
        <f t="shared" si="7"/>
        <v>6</v>
      </c>
      <c r="AB53" s="184">
        <f t="shared" si="3"/>
        <v>24</v>
      </c>
      <c r="AC53" s="182">
        <f t="shared" si="4"/>
        <v>2</v>
      </c>
      <c r="AD53" s="185">
        <f t="shared" si="8"/>
        <v>2</v>
      </c>
      <c r="AE53" s="178">
        <f t="shared" si="5"/>
        <v>20.807500000000001</v>
      </c>
    </row>
    <row r="54" spans="1:31" s="38" customFormat="1">
      <c r="A54" s="183" t="s">
        <v>271</v>
      </c>
      <c r="B54" s="183" t="s">
        <v>272</v>
      </c>
      <c r="C54" s="181">
        <v>22.5</v>
      </c>
      <c r="D54" s="181">
        <v>22.91</v>
      </c>
      <c r="E54" s="181"/>
      <c r="F54" s="182">
        <v>489.37</v>
      </c>
      <c r="G54" s="182">
        <v>472.5</v>
      </c>
      <c r="H54" s="182">
        <v>506.25</v>
      </c>
      <c r="I54" s="182">
        <v>535.72</v>
      </c>
      <c r="J54" s="182">
        <v>533.78499999999997</v>
      </c>
      <c r="K54" s="182">
        <v>533.78499999999997</v>
      </c>
      <c r="L54" s="182">
        <v>526.92999999999995</v>
      </c>
      <c r="M54" s="182">
        <v>526.92999999999995</v>
      </c>
      <c r="N54" s="182">
        <v>549.84</v>
      </c>
      <c r="O54" s="182">
        <v>1752.6150000000002</v>
      </c>
      <c r="P54" s="178">
        <f t="shared" si="2"/>
        <v>6427.7250000000004</v>
      </c>
      <c r="Q54" s="167"/>
      <c r="R54" s="182">
        <f t="shared" si="6"/>
        <v>21.749777777777776</v>
      </c>
      <c r="S54" s="182">
        <f t="shared" si="6"/>
        <v>21</v>
      </c>
      <c r="T54" s="182">
        <f t="shared" si="6"/>
        <v>22.5</v>
      </c>
      <c r="U54" s="182">
        <f t="shared" si="7"/>
        <v>23.383675250982105</v>
      </c>
      <c r="V54" s="182">
        <f t="shared" si="7"/>
        <v>23.299214316892186</v>
      </c>
      <c r="W54" s="182">
        <f t="shared" si="7"/>
        <v>23.299214316892186</v>
      </c>
      <c r="X54" s="182">
        <f t="shared" si="7"/>
        <v>22.999999999999996</v>
      </c>
      <c r="Y54" s="182">
        <f t="shared" si="7"/>
        <v>22.999999999999996</v>
      </c>
      <c r="Z54" s="182">
        <f t="shared" si="7"/>
        <v>24</v>
      </c>
      <c r="AA54" s="182">
        <f t="shared" si="7"/>
        <v>76.500000000000014</v>
      </c>
      <c r="AB54" s="184">
        <f t="shared" si="3"/>
        <v>281.73188166254425</v>
      </c>
      <c r="AC54" s="182">
        <f t="shared" si="4"/>
        <v>23.477656805212021</v>
      </c>
      <c r="AD54" s="185">
        <f t="shared" si="8"/>
        <v>23.477656805212021</v>
      </c>
      <c r="AE54" s="178">
        <f t="shared" si="5"/>
        <v>22.815043019160562</v>
      </c>
    </row>
    <row r="55" spans="1:31" s="38" customFormat="1">
      <c r="A55" s="183" t="s">
        <v>273</v>
      </c>
      <c r="B55" s="183" t="s">
        <v>274</v>
      </c>
      <c r="C55" s="181">
        <v>20.5</v>
      </c>
      <c r="D55" s="181">
        <v>20.91</v>
      </c>
      <c r="E55" s="181"/>
      <c r="F55" s="182">
        <v>3725.87</v>
      </c>
      <c r="G55" s="182">
        <v>3761.75</v>
      </c>
      <c r="H55" s="182">
        <v>3900.13</v>
      </c>
      <c r="I55" s="182">
        <v>3881.88</v>
      </c>
      <c r="J55" s="182">
        <v>3750.59</v>
      </c>
      <c r="K55" s="182">
        <v>3781.46</v>
      </c>
      <c r="L55" s="182">
        <v>3957.2449999999999</v>
      </c>
      <c r="M55" s="182">
        <v>4040.88</v>
      </c>
      <c r="N55" s="182">
        <v>4114.07</v>
      </c>
      <c r="O55" s="182">
        <v>12072.644999999999</v>
      </c>
      <c r="P55" s="178">
        <f t="shared" si="2"/>
        <v>46986.52</v>
      </c>
      <c r="Q55" s="167"/>
      <c r="R55" s="182">
        <f t="shared" si="6"/>
        <v>181.74975609756098</v>
      </c>
      <c r="S55" s="182">
        <f t="shared" si="6"/>
        <v>183.5</v>
      </c>
      <c r="T55" s="182">
        <f t="shared" si="6"/>
        <v>190.25024390243902</v>
      </c>
      <c r="U55" s="182">
        <f t="shared" si="7"/>
        <v>185.64705882352942</v>
      </c>
      <c r="V55" s="182">
        <f t="shared" si="7"/>
        <v>179.36824485891918</v>
      </c>
      <c r="W55" s="182">
        <f t="shared" si="7"/>
        <v>180.84457197513152</v>
      </c>
      <c r="X55" s="182">
        <f t="shared" si="7"/>
        <v>189.25131516021042</v>
      </c>
      <c r="Y55" s="182">
        <f t="shared" si="7"/>
        <v>193.25107604017217</v>
      </c>
      <c r="Z55" s="182">
        <f t="shared" si="7"/>
        <v>196.75131516021042</v>
      </c>
      <c r="AA55" s="182">
        <f t="shared" si="7"/>
        <v>577.3622668579626</v>
      </c>
      <c r="AB55" s="184">
        <f t="shared" si="3"/>
        <v>2257.9758488761354</v>
      </c>
      <c r="AC55" s="182">
        <f t="shared" si="4"/>
        <v>188.16465407301129</v>
      </c>
      <c r="AD55" s="185">
        <f t="shared" si="8"/>
        <v>188.16465407301129</v>
      </c>
      <c r="AE55" s="178">
        <f t="shared" si="5"/>
        <v>20.809133110695868</v>
      </c>
    </row>
    <row r="56" spans="1:31" s="38" customFormat="1">
      <c r="A56" s="183" t="s">
        <v>275</v>
      </c>
      <c r="B56" s="183" t="s">
        <v>276</v>
      </c>
      <c r="C56" s="181">
        <v>7.16</v>
      </c>
      <c r="D56" s="181">
        <v>7.24</v>
      </c>
      <c r="E56" s="181"/>
      <c r="F56" s="182">
        <v>0</v>
      </c>
      <c r="G56" s="182">
        <v>0</v>
      </c>
      <c r="H56" s="182">
        <v>0</v>
      </c>
      <c r="I56" s="182">
        <v>0</v>
      </c>
      <c r="J56" s="182">
        <v>0</v>
      </c>
      <c r="K56" s="182">
        <v>0</v>
      </c>
      <c r="L56" s="182">
        <v>7.24</v>
      </c>
      <c r="M56" s="182">
        <v>0</v>
      </c>
      <c r="N56" s="182">
        <v>0</v>
      </c>
      <c r="O56" s="182">
        <v>0</v>
      </c>
      <c r="P56" s="178">
        <f t="shared" si="2"/>
        <v>7.24</v>
      </c>
      <c r="Q56" s="167"/>
      <c r="R56" s="182">
        <f t="shared" si="6"/>
        <v>0</v>
      </c>
      <c r="S56" s="182">
        <f t="shared" si="6"/>
        <v>0</v>
      </c>
      <c r="T56" s="182">
        <f t="shared" si="6"/>
        <v>0</v>
      </c>
      <c r="U56" s="182">
        <f t="shared" si="7"/>
        <v>0</v>
      </c>
      <c r="V56" s="182">
        <f t="shared" si="7"/>
        <v>0</v>
      </c>
      <c r="W56" s="182">
        <f t="shared" si="7"/>
        <v>0</v>
      </c>
      <c r="X56" s="182">
        <f t="shared" si="7"/>
        <v>1</v>
      </c>
      <c r="Y56" s="182">
        <f t="shared" si="7"/>
        <v>0</v>
      </c>
      <c r="Z56" s="182">
        <f t="shared" si="7"/>
        <v>0</v>
      </c>
      <c r="AA56" s="182">
        <f t="shared" si="7"/>
        <v>0</v>
      </c>
      <c r="AB56" s="184">
        <f t="shared" si="3"/>
        <v>1</v>
      </c>
      <c r="AC56" s="182">
        <f t="shared" ref="AC56:AC67" si="9">AB56/12</f>
        <v>8.3333333333333329E-2</v>
      </c>
      <c r="AD56" s="185">
        <f t="shared" ref="AD56:AD67" si="10">AC56</f>
        <v>8.3333333333333329E-2</v>
      </c>
      <c r="AE56" s="178">
        <f t="shared" si="5"/>
        <v>7.24</v>
      </c>
    </row>
    <row r="57" spans="1:31" s="38" customFormat="1">
      <c r="A57" s="183" t="s">
        <v>277</v>
      </c>
      <c r="B57" s="183" t="s">
        <v>278</v>
      </c>
      <c r="C57" s="181">
        <v>7.16</v>
      </c>
      <c r="D57" s="181">
        <v>7.24</v>
      </c>
      <c r="E57" s="181"/>
      <c r="F57" s="182">
        <v>143.19999999999999</v>
      </c>
      <c r="G57" s="182">
        <v>78.759999999999991</v>
      </c>
      <c r="H57" s="182">
        <v>42.959999999999994</v>
      </c>
      <c r="I57" s="182">
        <v>122.68</v>
      </c>
      <c r="J57" s="182">
        <v>101.36</v>
      </c>
      <c r="K57" s="182">
        <v>50.68</v>
      </c>
      <c r="L57" s="182">
        <v>159.28</v>
      </c>
      <c r="M57" s="182">
        <v>166.52</v>
      </c>
      <c r="N57" s="182">
        <v>79.64</v>
      </c>
      <c r="O57" s="182">
        <v>702.28000000000009</v>
      </c>
      <c r="P57" s="178">
        <f t="shared" si="2"/>
        <v>1647.3600000000001</v>
      </c>
      <c r="Q57" s="167"/>
      <c r="R57" s="182">
        <f t="shared" si="6"/>
        <v>19.999999999999996</v>
      </c>
      <c r="S57" s="182">
        <f t="shared" si="6"/>
        <v>10.999999999999998</v>
      </c>
      <c r="T57" s="182">
        <f t="shared" si="6"/>
        <v>5.9999999999999991</v>
      </c>
      <c r="U57" s="182">
        <f t="shared" si="7"/>
        <v>16.944751381215472</v>
      </c>
      <c r="V57" s="182">
        <f t="shared" si="7"/>
        <v>14</v>
      </c>
      <c r="W57" s="182">
        <f t="shared" si="7"/>
        <v>7</v>
      </c>
      <c r="X57" s="182">
        <f t="shared" si="7"/>
        <v>22</v>
      </c>
      <c r="Y57" s="182">
        <f t="shared" si="7"/>
        <v>23</v>
      </c>
      <c r="Z57" s="182">
        <f t="shared" si="7"/>
        <v>11</v>
      </c>
      <c r="AA57" s="182">
        <f t="shared" si="7"/>
        <v>97.000000000000014</v>
      </c>
      <c r="AB57" s="184">
        <f t="shared" si="3"/>
        <v>227.9447513812155</v>
      </c>
      <c r="AC57" s="182">
        <f t="shared" si="9"/>
        <v>18.995395948434624</v>
      </c>
      <c r="AD57" s="185">
        <f t="shared" si="10"/>
        <v>18.995395948434624</v>
      </c>
      <c r="AE57" s="178">
        <f t="shared" si="5"/>
        <v>7.2270143972078138</v>
      </c>
    </row>
    <row r="58" spans="1:31" s="38" customFormat="1">
      <c r="A58" s="183" t="s">
        <v>279</v>
      </c>
      <c r="B58" s="183" t="s">
        <v>280</v>
      </c>
      <c r="C58" s="181">
        <v>4.38</v>
      </c>
      <c r="D58" s="181">
        <v>4.46</v>
      </c>
      <c r="E58" s="181"/>
      <c r="F58" s="182">
        <v>1695.06</v>
      </c>
      <c r="G58" s="182">
        <v>1384.08</v>
      </c>
      <c r="H58" s="182">
        <v>1178.22</v>
      </c>
      <c r="I58" s="182">
        <v>3202.7599999999998</v>
      </c>
      <c r="J58" s="182">
        <v>1855.76</v>
      </c>
      <c r="K58" s="182">
        <v>1677.52</v>
      </c>
      <c r="L58" s="182">
        <v>1792.92</v>
      </c>
      <c r="M58" s="182">
        <v>2519.8999999999996</v>
      </c>
      <c r="N58" s="182">
        <v>1873.2</v>
      </c>
      <c r="O58" s="182">
        <v>6965.2000000000007</v>
      </c>
      <c r="P58" s="178">
        <f t="shared" si="2"/>
        <v>24144.62</v>
      </c>
      <c r="Q58" s="167"/>
      <c r="R58" s="182">
        <f t="shared" si="6"/>
        <v>387</v>
      </c>
      <c r="S58" s="182">
        <f t="shared" si="6"/>
        <v>316</v>
      </c>
      <c r="T58" s="182">
        <f t="shared" si="6"/>
        <v>269</v>
      </c>
      <c r="U58" s="182">
        <f t="shared" si="7"/>
        <v>718.10762331838555</v>
      </c>
      <c r="V58" s="182">
        <f t="shared" si="7"/>
        <v>416.08968609865474</v>
      </c>
      <c r="W58" s="182">
        <f t="shared" si="7"/>
        <v>376.12556053811659</v>
      </c>
      <c r="X58" s="182">
        <f t="shared" si="7"/>
        <v>402</v>
      </c>
      <c r="Y58" s="182">
        <f t="shared" si="7"/>
        <v>564.99999999999989</v>
      </c>
      <c r="Z58" s="182">
        <f t="shared" si="7"/>
        <v>420</v>
      </c>
      <c r="AA58" s="182">
        <f t="shared" si="7"/>
        <v>1561.7040358744396</v>
      </c>
      <c r="AB58" s="184">
        <f t="shared" si="3"/>
        <v>5431.0269058295962</v>
      </c>
      <c r="AC58" s="182">
        <f t="shared" si="9"/>
        <v>452.58557548579967</v>
      </c>
      <c r="AD58" s="185">
        <f t="shared" si="10"/>
        <v>452.58557548579967</v>
      </c>
      <c r="AE58" s="178">
        <f t="shared" si="5"/>
        <v>4.4456822657393698</v>
      </c>
    </row>
    <row r="59" spans="1:31" s="38" customFormat="1">
      <c r="A59" s="183" t="s">
        <v>281</v>
      </c>
      <c r="B59" s="183" t="s">
        <v>282</v>
      </c>
      <c r="C59" s="181">
        <v>6.62</v>
      </c>
      <c r="D59" s="181">
        <v>6.7</v>
      </c>
      <c r="E59" s="181"/>
      <c r="F59" s="182">
        <v>125.77999999999999</v>
      </c>
      <c r="G59" s="182">
        <v>6.62</v>
      </c>
      <c r="H59" s="182">
        <v>19.86</v>
      </c>
      <c r="I59" s="182">
        <v>13.4</v>
      </c>
      <c r="J59" s="182">
        <v>0</v>
      </c>
      <c r="K59" s="182">
        <v>0</v>
      </c>
      <c r="L59" s="182">
        <v>13.4</v>
      </c>
      <c r="M59" s="182">
        <v>40.200000000000003</v>
      </c>
      <c r="N59" s="182">
        <v>26.8</v>
      </c>
      <c r="O59" s="182">
        <v>26.8</v>
      </c>
      <c r="P59" s="178">
        <f t="shared" si="2"/>
        <v>272.86</v>
      </c>
      <c r="Q59" s="167"/>
      <c r="R59" s="182">
        <f t="shared" si="6"/>
        <v>18.999999999999996</v>
      </c>
      <c r="S59" s="182">
        <f t="shared" si="6"/>
        <v>1</v>
      </c>
      <c r="T59" s="182">
        <f t="shared" si="6"/>
        <v>3</v>
      </c>
      <c r="U59" s="182">
        <f t="shared" si="7"/>
        <v>2</v>
      </c>
      <c r="V59" s="182">
        <f t="shared" si="7"/>
        <v>0</v>
      </c>
      <c r="W59" s="182">
        <f t="shared" si="7"/>
        <v>0</v>
      </c>
      <c r="X59" s="182">
        <f t="shared" si="7"/>
        <v>2</v>
      </c>
      <c r="Y59" s="182">
        <f t="shared" si="7"/>
        <v>6</v>
      </c>
      <c r="Z59" s="182">
        <f t="shared" si="7"/>
        <v>4</v>
      </c>
      <c r="AA59" s="182">
        <f t="shared" si="7"/>
        <v>4</v>
      </c>
      <c r="AB59" s="184">
        <f t="shared" si="3"/>
        <v>41</v>
      </c>
      <c r="AC59" s="182">
        <f t="shared" si="9"/>
        <v>3.4166666666666665</v>
      </c>
      <c r="AD59" s="185">
        <f t="shared" si="10"/>
        <v>3.4166666666666665</v>
      </c>
      <c r="AE59" s="178">
        <f t="shared" si="5"/>
        <v>6.6551219512195123</v>
      </c>
    </row>
    <row r="60" spans="1:31" s="38" customFormat="1">
      <c r="A60" s="183" t="s">
        <v>283</v>
      </c>
      <c r="B60" s="183" t="s">
        <v>284</v>
      </c>
      <c r="C60" s="181">
        <v>6.62</v>
      </c>
      <c r="D60" s="181">
        <v>6.7</v>
      </c>
      <c r="E60" s="181"/>
      <c r="F60" s="182">
        <v>39.72</v>
      </c>
      <c r="G60" s="182">
        <v>46.34</v>
      </c>
      <c r="H60" s="182">
        <v>26.48</v>
      </c>
      <c r="I60" s="182">
        <v>80.400000000000006</v>
      </c>
      <c r="J60" s="182">
        <v>13.4</v>
      </c>
      <c r="K60" s="182">
        <v>6.7</v>
      </c>
      <c r="L60" s="182">
        <v>6.7</v>
      </c>
      <c r="M60" s="182">
        <v>13.4</v>
      </c>
      <c r="N60" s="182">
        <v>26.8</v>
      </c>
      <c r="O60" s="182">
        <v>20.100000000000001</v>
      </c>
      <c r="P60" s="178">
        <f t="shared" si="2"/>
        <v>280.04000000000002</v>
      </c>
      <c r="Q60" s="167"/>
      <c r="R60" s="182">
        <f t="shared" si="6"/>
        <v>6</v>
      </c>
      <c r="S60" s="182">
        <f t="shared" si="6"/>
        <v>7</v>
      </c>
      <c r="T60" s="182">
        <f t="shared" si="6"/>
        <v>4</v>
      </c>
      <c r="U60" s="182">
        <f t="shared" si="7"/>
        <v>12</v>
      </c>
      <c r="V60" s="182">
        <f t="shared" si="7"/>
        <v>2</v>
      </c>
      <c r="W60" s="182">
        <f t="shared" si="7"/>
        <v>1</v>
      </c>
      <c r="X60" s="182">
        <f t="shared" si="7"/>
        <v>1</v>
      </c>
      <c r="Y60" s="182">
        <f t="shared" si="7"/>
        <v>2</v>
      </c>
      <c r="Z60" s="182">
        <f t="shared" si="7"/>
        <v>4</v>
      </c>
      <c r="AA60" s="182">
        <f t="shared" si="7"/>
        <v>3</v>
      </c>
      <c r="AB60" s="184">
        <f t="shared" si="3"/>
        <v>42</v>
      </c>
      <c r="AC60" s="182">
        <f t="shared" si="9"/>
        <v>3.5</v>
      </c>
      <c r="AD60" s="185">
        <f t="shared" si="10"/>
        <v>3.5</v>
      </c>
      <c r="AE60" s="178">
        <f t="shared" si="5"/>
        <v>6.6676190476190484</v>
      </c>
    </row>
    <row r="61" spans="1:31" s="38" customFormat="1">
      <c r="A61" s="183" t="s">
        <v>285</v>
      </c>
      <c r="B61" s="183" t="s">
        <v>286</v>
      </c>
      <c r="C61" s="181">
        <v>23.3</v>
      </c>
      <c r="D61" s="181">
        <v>0</v>
      </c>
      <c r="E61" s="181"/>
      <c r="F61" s="182">
        <v>23.3</v>
      </c>
      <c r="G61" s="182">
        <v>0</v>
      </c>
      <c r="H61" s="182">
        <v>0</v>
      </c>
      <c r="I61" s="182">
        <v>0</v>
      </c>
      <c r="J61" s="182">
        <v>0</v>
      </c>
      <c r="K61" s="182">
        <v>0</v>
      </c>
      <c r="L61" s="182">
        <v>0</v>
      </c>
      <c r="M61" s="182">
        <v>0</v>
      </c>
      <c r="N61" s="182">
        <v>0</v>
      </c>
      <c r="O61" s="182">
        <v>0</v>
      </c>
      <c r="P61" s="178">
        <f t="shared" si="2"/>
        <v>23.3</v>
      </c>
      <c r="Q61" s="167"/>
      <c r="R61" s="182">
        <f t="shared" si="6"/>
        <v>1</v>
      </c>
      <c r="S61" s="182">
        <f t="shared" si="6"/>
        <v>0</v>
      </c>
      <c r="T61" s="182">
        <f t="shared" si="6"/>
        <v>0</v>
      </c>
      <c r="U61" s="182">
        <f t="shared" si="7"/>
        <v>0</v>
      </c>
      <c r="V61" s="182">
        <f t="shared" si="7"/>
        <v>0</v>
      </c>
      <c r="W61" s="182">
        <f t="shared" si="7"/>
        <v>0</v>
      </c>
      <c r="X61" s="182">
        <f t="shared" si="7"/>
        <v>0</v>
      </c>
      <c r="Y61" s="182">
        <f t="shared" si="7"/>
        <v>0</v>
      </c>
      <c r="Z61" s="182">
        <f t="shared" si="7"/>
        <v>0</v>
      </c>
      <c r="AA61" s="182">
        <f t="shared" si="7"/>
        <v>0</v>
      </c>
      <c r="AB61" s="184">
        <f t="shared" si="3"/>
        <v>1</v>
      </c>
      <c r="AC61" s="182">
        <f t="shared" si="9"/>
        <v>8.3333333333333329E-2</v>
      </c>
      <c r="AD61" s="185">
        <f t="shared" si="10"/>
        <v>8.3333333333333329E-2</v>
      </c>
      <c r="AE61" s="178">
        <f t="shared" si="5"/>
        <v>23.3</v>
      </c>
    </row>
    <row r="62" spans="1:31" s="38" customFormat="1">
      <c r="A62" s="183" t="s">
        <v>287</v>
      </c>
      <c r="B62" s="183" t="s">
        <v>288</v>
      </c>
      <c r="C62" s="181">
        <v>12.39</v>
      </c>
      <c r="D62" s="181">
        <v>12.88</v>
      </c>
      <c r="E62" s="181"/>
      <c r="F62" s="182">
        <v>12.39</v>
      </c>
      <c r="G62" s="182">
        <v>12.39</v>
      </c>
      <c r="H62" s="182">
        <v>24.78</v>
      </c>
      <c r="I62" s="182">
        <v>0</v>
      </c>
      <c r="J62" s="182">
        <v>12.47</v>
      </c>
      <c r="K62" s="182">
        <v>24.94</v>
      </c>
      <c r="L62" s="182">
        <v>0</v>
      </c>
      <c r="M62" s="182">
        <v>0</v>
      </c>
      <c r="N62" s="182">
        <v>12.47</v>
      </c>
      <c r="O62" s="182">
        <v>87.289999999999992</v>
      </c>
      <c r="P62" s="178">
        <f t="shared" si="2"/>
        <v>186.73</v>
      </c>
      <c r="Q62" s="167"/>
      <c r="R62" s="182">
        <f t="shared" si="6"/>
        <v>1</v>
      </c>
      <c r="S62" s="182">
        <f t="shared" si="6"/>
        <v>1</v>
      </c>
      <c r="T62" s="182">
        <f t="shared" si="6"/>
        <v>2</v>
      </c>
      <c r="U62" s="182">
        <f t="shared" si="7"/>
        <v>0</v>
      </c>
      <c r="V62" s="182">
        <f t="shared" si="7"/>
        <v>0.96816770186335399</v>
      </c>
      <c r="W62" s="182">
        <f t="shared" si="7"/>
        <v>1.936335403726708</v>
      </c>
      <c r="X62" s="182">
        <f t="shared" si="7"/>
        <v>0</v>
      </c>
      <c r="Y62" s="182">
        <f t="shared" si="7"/>
        <v>0</v>
      </c>
      <c r="Z62" s="182">
        <f t="shared" si="7"/>
        <v>0.96816770186335399</v>
      </c>
      <c r="AA62" s="182">
        <f t="shared" si="7"/>
        <v>6.7771739130434776</v>
      </c>
      <c r="AB62" s="184">
        <f t="shared" si="3"/>
        <v>14.649844720496894</v>
      </c>
      <c r="AC62" s="182">
        <f t="shared" si="9"/>
        <v>1.2208203933747412</v>
      </c>
      <c r="AD62" s="185">
        <f t="shared" si="10"/>
        <v>1.2208203933747412</v>
      </c>
      <c r="AE62" s="178">
        <f t="shared" si="5"/>
        <v>12.746210186019397</v>
      </c>
    </row>
    <row r="63" spans="1:31" s="38" customFormat="1">
      <c r="A63" s="183" t="s">
        <v>289</v>
      </c>
      <c r="B63" s="183" t="s">
        <v>290</v>
      </c>
      <c r="C63" s="181">
        <v>12.39</v>
      </c>
      <c r="D63" s="181">
        <v>12.47</v>
      </c>
      <c r="E63" s="181"/>
      <c r="F63" s="182">
        <v>0</v>
      </c>
      <c r="G63" s="182">
        <v>0</v>
      </c>
      <c r="H63" s="182">
        <v>12.39</v>
      </c>
      <c r="I63" s="182">
        <v>12.39</v>
      </c>
      <c r="J63" s="182">
        <v>0</v>
      </c>
      <c r="K63" s="182">
        <v>0</v>
      </c>
      <c r="L63" s="182">
        <v>0</v>
      </c>
      <c r="M63" s="182">
        <v>12.47</v>
      </c>
      <c r="N63" s="182">
        <v>0</v>
      </c>
      <c r="O63" s="182">
        <v>0</v>
      </c>
      <c r="P63" s="178">
        <f t="shared" si="2"/>
        <v>37.25</v>
      </c>
      <c r="Q63" s="167"/>
      <c r="R63" s="182">
        <f t="shared" si="6"/>
        <v>0</v>
      </c>
      <c r="S63" s="182">
        <f t="shared" si="6"/>
        <v>0</v>
      </c>
      <c r="T63" s="182">
        <f t="shared" si="6"/>
        <v>1</v>
      </c>
      <c r="U63" s="182">
        <f t="shared" ref="U63:AA67" si="11">IFERROR(I63/$D63,0)</f>
        <v>0.99358460304731355</v>
      </c>
      <c r="V63" s="182">
        <f t="shared" si="11"/>
        <v>0</v>
      </c>
      <c r="W63" s="182">
        <f t="shared" si="11"/>
        <v>0</v>
      </c>
      <c r="X63" s="182">
        <f t="shared" si="11"/>
        <v>0</v>
      </c>
      <c r="Y63" s="182">
        <f t="shared" si="11"/>
        <v>1</v>
      </c>
      <c r="Z63" s="182">
        <f t="shared" si="11"/>
        <v>0</v>
      </c>
      <c r="AA63" s="182">
        <f t="shared" si="11"/>
        <v>0</v>
      </c>
      <c r="AB63" s="184">
        <f t="shared" si="3"/>
        <v>2.9935846030473137</v>
      </c>
      <c r="AC63" s="182">
        <f t="shared" si="9"/>
        <v>0.24946538358727613</v>
      </c>
      <c r="AD63" s="185">
        <f t="shared" si="10"/>
        <v>0.24946538358727613</v>
      </c>
      <c r="AE63" s="178">
        <f t="shared" si="5"/>
        <v>12.443276185373694</v>
      </c>
    </row>
    <row r="64" spans="1:31" s="38" customFormat="1">
      <c r="A64" s="183" t="s">
        <v>291</v>
      </c>
      <c r="B64" s="183" t="s">
        <v>292</v>
      </c>
      <c r="C64" s="181">
        <v>12.39</v>
      </c>
      <c r="D64" s="181">
        <v>12.47</v>
      </c>
      <c r="E64" s="181"/>
      <c r="F64" s="182">
        <v>558.36</v>
      </c>
      <c r="G64" s="182">
        <v>372.24</v>
      </c>
      <c r="H64" s="182">
        <v>287.63999999999993</v>
      </c>
      <c r="I64" s="182">
        <v>409.76</v>
      </c>
      <c r="J64" s="182">
        <v>409.91999999999996</v>
      </c>
      <c r="K64" s="182">
        <v>580.71999999999991</v>
      </c>
      <c r="L64" s="182">
        <v>392.84000000000003</v>
      </c>
      <c r="M64" s="182">
        <v>426.99999999999994</v>
      </c>
      <c r="N64" s="182">
        <v>409.92</v>
      </c>
      <c r="O64" s="182">
        <v>1742.1599999999999</v>
      </c>
      <c r="P64" s="178">
        <f t="shared" si="2"/>
        <v>5590.5599999999995</v>
      </c>
      <c r="Q64" s="167"/>
      <c r="R64" s="182">
        <f t="shared" si="6"/>
        <v>45.06537530266344</v>
      </c>
      <c r="S64" s="182">
        <f t="shared" si="6"/>
        <v>30.043583535108958</v>
      </c>
      <c r="T64" s="182">
        <f t="shared" si="6"/>
        <v>23.215496368038735</v>
      </c>
      <c r="U64" s="182">
        <f t="shared" si="11"/>
        <v>32.859663191659983</v>
      </c>
      <c r="V64" s="182">
        <f t="shared" si="11"/>
        <v>32.872493985565349</v>
      </c>
      <c r="W64" s="182">
        <f t="shared" si="11"/>
        <v>46.569366479550915</v>
      </c>
      <c r="X64" s="182">
        <f t="shared" si="11"/>
        <v>31.5028067361668</v>
      </c>
      <c r="Y64" s="182">
        <f t="shared" si="11"/>
        <v>34.242181234963908</v>
      </c>
      <c r="Z64" s="182">
        <f t="shared" si="11"/>
        <v>32.872493985565356</v>
      </c>
      <c r="AA64" s="182">
        <f t="shared" si="11"/>
        <v>139.70809943865274</v>
      </c>
      <c r="AB64" s="184">
        <f t="shared" si="3"/>
        <v>448.95156025793619</v>
      </c>
      <c r="AC64" s="182">
        <f t="shared" si="9"/>
        <v>37.412630021494685</v>
      </c>
      <c r="AD64" s="185">
        <f t="shared" si="10"/>
        <v>37.412630021494685</v>
      </c>
      <c r="AE64" s="178">
        <f t="shared" si="5"/>
        <v>12.452479275911314</v>
      </c>
    </row>
    <row r="65" spans="1:31" s="38" customFormat="1">
      <c r="A65" s="183" t="s">
        <v>293</v>
      </c>
      <c r="B65" s="183" t="s">
        <v>294</v>
      </c>
      <c r="C65" s="181">
        <v>16.920000000000002</v>
      </c>
      <c r="D65" s="181">
        <v>17.079999999999998</v>
      </c>
      <c r="E65" s="181"/>
      <c r="F65" s="182">
        <v>64.349999999999994</v>
      </c>
      <c r="G65" s="182">
        <v>85.8</v>
      </c>
      <c r="H65" s="182">
        <v>85.8</v>
      </c>
      <c r="I65" s="182">
        <v>108.21000000000001</v>
      </c>
      <c r="J65" s="182">
        <v>173.51999999999998</v>
      </c>
      <c r="K65" s="182">
        <v>260.27999999999997</v>
      </c>
      <c r="L65" s="182">
        <v>216.89999999999998</v>
      </c>
      <c r="M65" s="182">
        <v>260.27999999999997</v>
      </c>
      <c r="N65" s="182">
        <v>108.45</v>
      </c>
      <c r="O65" s="182">
        <v>563.94000000000005</v>
      </c>
      <c r="P65" s="178">
        <f t="shared" si="2"/>
        <v>1927.53</v>
      </c>
      <c r="Q65" s="167"/>
      <c r="R65" s="182">
        <f t="shared" si="6"/>
        <v>3.8031914893617014</v>
      </c>
      <c r="S65" s="182">
        <f t="shared" si="6"/>
        <v>5.0709219858156018</v>
      </c>
      <c r="T65" s="182">
        <f t="shared" si="6"/>
        <v>5.0709219858156018</v>
      </c>
      <c r="U65" s="182">
        <f t="shared" si="11"/>
        <v>6.3354800936768161</v>
      </c>
      <c r="V65" s="182">
        <f t="shared" si="11"/>
        <v>10.159250585480093</v>
      </c>
      <c r="W65" s="182">
        <f t="shared" si="11"/>
        <v>15.23887587822014</v>
      </c>
      <c r="X65" s="182">
        <f t="shared" si="11"/>
        <v>12.699063231850117</v>
      </c>
      <c r="Y65" s="182">
        <f t="shared" si="11"/>
        <v>15.23887587822014</v>
      </c>
      <c r="Z65" s="182">
        <f t="shared" si="11"/>
        <v>6.3495316159250592</v>
      </c>
      <c r="AA65" s="182">
        <f t="shared" si="11"/>
        <v>33.017564402810308</v>
      </c>
      <c r="AB65" s="184">
        <f t="shared" si="3"/>
        <v>112.98367714717558</v>
      </c>
      <c r="AC65" s="182">
        <f t="shared" si="9"/>
        <v>9.4153064289312987</v>
      </c>
      <c r="AD65" s="185">
        <f t="shared" si="10"/>
        <v>9.4153064289312987</v>
      </c>
      <c r="AE65" s="178">
        <f t="shared" si="5"/>
        <v>17.060251964442152</v>
      </c>
    </row>
    <row r="66" spans="1:31" s="38" customFormat="1">
      <c r="A66" s="183" t="s">
        <v>295</v>
      </c>
      <c r="B66" s="183" t="s">
        <v>296</v>
      </c>
      <c r="C66" s="181">
        <v>21.45</v>
      </c>
      <c r="D66" s="181">
        <v>21.69</v>
      </c>
      <c r="E66" s="181"/>
      <c r="F66" s="182">
        <v>21.45</v>
      </c>
      <c r="G66" s="182">
        <v>0</v>
      </c>
      <c r="H66" s="182">
        <v>0</v>
      </c>
      <c r="I66" s="182">
        <v>0</v>
      </c>
      <c r="J66" s="182">
        <v>21.69</v>
      </c>
      <c r="K66" s="182">
        <v>0</v>
      </c>
      <c r="L66" s="182">
        <v>0</v>
      </c>
      <c r="M66" s="182">
        <v>0</v>
      </c>
      <c r="N66" s="182">
        <v>0</v>
      </c>
      <c r="O66" s="182">
        <v>0</v>
      </c>
      <c r="P66" s="178">
        <f t="shared" si="2"/>
        <v>43.14</v>
      </c>
      <c r="Q66" s="167"/>
      <c r="R66" s="182">
        <f t="shared" si="6"/>
        <v>1</v>
      </c>
      <c r="S66" s="182">
        <f t="shared" si="6"/>
        <v>0</v>
      </c>
      <c r="T66" s="182">
        <f t="shared" si="6"/>
        <v>0</v>
      </c>
      <c r="U66" s="182">
        <f t="shared" si="11"/>
        <v>0</v>
      </c>
      <c r="V66" s="182">
        <f t="shared" si="11"/>
        <v>1</v>
      </c>
      <c r="W66" s="182">
        <f t="shared" si="11"/>
        <v>0</v>
      </c>
      <c r="X66" s="182">
        <f t="shared" si="11"/>
        <v>0</v>
      </c>
      <c r="Y66" s="182">
        <f t="shared" si="11"/>
        <v>0</v>
      </c>
      <c r="Z66" s="182">
        <f t="shared" si="11"/>
        <v>0</v>
      </c>
      <c r="AA66" s="182">
        <f>IFERROR(O66/$D66,0)</f>
        <v>0</v>
      </c>
      <c r="AB66" s="184">
        <f>SUM(R66:AA66)</f>
        <v>2</v>
      </c>
      <c r="AC66" s="182">
        <f t="shared" si="9"/>
        <v>0.16666666666666666</v>
      </c>
      <c r="AD66" s="185">
        <f t="shared" si="10"/>
        <v>0.16666666666666666</v>
      </c>
      <c r="AE66" s="178">
        <f t="shared" si="5"/>
        <v>21.57</v>
      </c>
    </row>
    <row r="67" spans="1:31" s="38" customFormat="1">
      <c r="A67" s="183" t="s">
        <v>297</v>
      </c>
      <c r="B67" s="183" t="s">
        <v>298</v>
      </c>
      <c r="C67" s="181">
        <v>21.45</v>
      </c>
      <c r="D67" s="181">
        <v>21.69</v>
      </c>
      <c r="E67" s="181"/>
      <c r="F67" s="182">
        <v>0</v>
      </c>
      <c r="G67" s="182">
        <v>0</v>
      </c>
      <c r="H67" s="182">
        <v>0</v>
      </c>
      <c r="I67" s="182">
        <v>0</v>
      </c>
      <c r="J67" s="182">
        <v>0</v>
      </c>
      <c r="K67" s="182">
        <v>0</v>
      </c>
      <c r="L67" s="182">
        <v>0</v>
      </c>
      <c r="M67" s="182">
        <v>12.88</v>
      </c>
      <c r="N67" s="182">
        <v>0</v>
      </c>
      <c r="O67" s="182">
        <v>12.88</v>
      </c>
      <c r="P67" s="178">
        <f>SUM(F67:O67)</f>
        <v>25.76</v>
      </c>
      <c r="Q67" s="167"/>
      <c r="R67" s="182">
        <f t="shared" si="6"/>
        <v>0</v>
      </c>
      <c r="S67" s="182">
        <f t="shared" si="6"/>
        <v>0</v>
      </c>
      <c r="T67" s="182">
        <f t="shared" si="6"/>
        <v>0</v>
      </c>
      <c r="U67" s="182">
        <f t="shared" si="11"/>
        <v>0</v>
      </c>
      <c r="V67" s="182">
        <f t="shared" si="11"/>
        <v>0</v>
      </c>
      <c r="W67" s="182">
        <f t="shared" si="11"/>
        <v>0</v>
      </c>
      <c r="X67" s="182">
        <f t="shared" si="11"/>
        <v>0</v>
      </c>
      <c r="Y67" s="182">
        <f t="shared" si="11"/>
        <v>0.59382203780544029</v>
      </c>
      <c r="Z67" s="182">
        <f t="shared" si="11"/>
        <v>0</v>
      </c>
      <c r="AA67" s="182">
        <f>IFERROR(O67/$D67,0)</f>
        <v>0.59382203780544029</v>
      </c>
      <c r="AB67" s="184">
        <f>SUM(R67:AA67)</f>
        <v>1.1876440756108806</v>
      </c>
      <c r="AC67" s="182">
        <f t="shared" si="9"/>
        <v>9.8970339634240054E-2</v>
      </c>
      <c r="AD67" s="185">
        <f t="shared" si="10"/>
        <v>9.8970339634240054E-2</v>
      </c>
      <c r="AE67" s="178">
        <f t="shared" si="5"/>
        <v>21.69</v>
      </c>
    </row>
    <row r="68" spans="1:31" s="38" customFormat="1">
      <c r="A68" s="183" t="s">
        <v>299</v>
      </c>
      <c r="B68" s="183" t="s">
        <v>300</v>
      </c>
      <c r="C68" s="181">
        <v>8.66</v>
      </c>
      <c r="D68" s="181">
        <v>8.66</v>
      </c>
      <c r="E68" s="181"/>
      <c r="F68" s="182">
        <v>8.66</v>
      </c>
      <c r="G68" s="182">
        <v>8.66</v>
      </c>
      <c r="H68" s="182">
        <v>8.66</v>
      </c>
      <c r="I68" s="182">
        <v>25.98</v>
      </c>
      <c r="J68" s="182">
        <v>25.98</v>
      </c>
      <c r="K68" s="182">
        <v>25.98</v>
      </c>
      <c r="L68" s="182">
        <v>25.98</v>
      </c>
      <c r="M68" s="182">
        <v>-8.66</v>
      </c>
      <c r="N68" s="182">
        <v>25.98</v>
      </c>
      <c r="O68" s="182">
        <v>25.98</v>
      </c>
      <c r="P68" s="178">
        <f t="shared" si="2"/>
        <v>173.2</v>
      </c>
      <c r="Q68" s="167"/>
      <c r="R68" s="182"/>
      <c r="S68" s="182"/>
      <c r="T68" s="182"/>
      <c r="U68" s="182"/>
      <c r="V68" s="182"/>
      <c r="W68" s="182"/>
      <c r="X68" s="182"/>
      <c r="Y68" s="182"/>
      <c r="Z68" s="182"/>
      <c r="AA68" s="182"/>
      <c r="AB68" s="184"/>
      <c r="AC68" s="167"/>
      <c r="AD68" s="167"/>
      <c r="AE68" s="178"/>
    </row>
    <row r="69" spans="1:31" s="38" customFormat="1">
      <c r="A69" s="183" t="s">
        <v>301</v>
      </c>
      <c r="B69" s="183" t="s">
        <v>302</v>
      </c>
      <c r="C69" s="181">
        <v>11.3</v>
      </c>
      <c r="D69" s="181">
        <v>11.3</v>
      </c>
      <c r="E69" s="181"/>
      <c r="F69" s="182">
        <v>542.4</v>
      </c>
      <c r="G69" s="182">
        <v>372.90000000000009</v>
      </c>
      <c r="H69" s="182">
        <v>305.10000000000002</v>
      </c>
      <c r="I69" s="182">
        <v>406.79999999999995</v>
      </c>
      <c r="J69" s="182">
        <v>655.4</v>
      </c>
      <c r="K69" s="182">
        <v>293.8</v>
      </c>
      <c r="L69" s="182">
        <v>598.9</v>
      </c>
      <c r="M69" s="182">
        <v>485.9</v>
      </c>
      <c r="N69" s="182">
        <v>610.19999999999993</v>
      </c>
      <c r="O69" s="182">
        <v>1491.5999999999997</v>
      </c>
      <c r="P69" s="178">
        <f t="shared" si="2"/>
        <v>5763</v>
      </c>
      <c r="Q69" s="167"/>
      <c r="R69" s="182"/>
      <c r="S69" s="182"/>
      <c r="T69" s="182"/>
      <c r="U69" s="182"/>
      <c r="V69" s="182"/>
      <c r="W69" s="182"/>
      <c r="X69" s="182"/>
      <c r="Y69" s="182"/>
      <c r="Z69" s="182"/>
      <c r="AA69" s="182"/>
      <c r="AB69" s="184"/>
      <c r="AC69" s="167"/>
      <c r="AD69" s="167"/>
      <c r="AE69" s="178"/>
    </row>
    <row r="70" spans="1:31" s="38" customFormat="1">
      <c r="A70" s="183" t="s">
        <v>303</v>
      </c>
      <c r="B70" s="183" t="s">
        <v>304</v>
      </c>
      <c r="C70" s="181">
        <v>13.65</v>
      </c>
      <c r="D70" s="181">
        <v>0</v>
      </c>
      <c r="E70" s="181"/>
      <c r="F70" s="182">
        <v>0</v>
      </c>
      <c r="G70" s="182">
        <v>0</v>
      </c>
      <c r="H70" s="182">
        <v>0</v>
      </c>
      <c r="I70" s="182">
        <v>0</v>
      </c>
      <c r="J70" s="182">
        <v>0</v>
      </c>
      <c r="K70" s="182">
        <v>0</v>
      </c>
      <c r="L70" s="182">
        <v>0</v>
      </c>
      <c r="M70" s="182">
        <v>0</v>
      </c>
      <c r="N70" s="182">
        <v>0</v>
      </c>
      <c r="O70" s="182">
        <v>0</v>
      </c>
      <c r="P70" s="178">
        <f t="shared" si="2"/>
        <v>0</v>
      </c>
      <c r="Q70" s="167"/>
      <c r="R70" s="182"/>
      <c r="S70" s="182"/>
      <c r="T70" s="182"/>
      <c r="U70" s="182"/>
      <c r="V70" s="182"/>
      <c r="W70" s="182"/>
      <c r="X70" s="182"/>
      <c r="Y70" s="182"/>
      <c r="Z70" s="182"/>
      <c r="AA70" s="182"/>
      <c r="AB70" s="184"/>
      <c r="AC70" s="167"/>
      <c r="AD70" s="167"/>
      <c r="AE70" s="178"/>
    </row>
    <row r="71" spans="1:31" s="38" customFormat="1">
      <c r="A71" s="183" t="s">
        <v>305</v>
      </c>
      <c r="B71" s="183" t="s">
        <v>306</v>
      </c>
      <c r="C71" s="181">
        <v>13.65</v>
      </c>
      <c r="D71" s="181">
        <v>13.65</v>
      </c>
      <c r="E71" s="181"/>
      <c r="F71" s="182">
        <v>13.65</v>
      </c>
      <c r="G71" s="182">
        <v>0</v>
      </c>
      <c r="H71" s="182">
        <v>0</v>
      </c>
      <c r="I71" s="182">
        <v>13.65</v>
      </c>
      <c r="J71" s="182">
        <v>0</v>
      </c>
      <c r="K71" s="182">
        <v>0</v>
      </c>
      <c r="L71" s="182">
        <v>0</v>
      </c>
      <c r="M71" s="182">
        <v>0</v>
      </c>
      <c r="N71" s="182">
        <v>0</v>
      </c>
      <c r="O71" s="182">
        <v>0</v>
      </c>
      <c r="P71" s="178">
        <f t="shared" si="2"/>
        <v>27.3</v>
      </c>
      <c r="Q71" s="167"/>
      <c r="R71" s="182"/>
      <c r="S71" s="182"/>
      <c r="T71" s="182"/>
      <c r="U71" s="182"/>
      <c r="V71" s="182"/>
      <c r="W71" s="182"/>
      <c r="X71" s="182"/>
      <c r="Y71" s="182"/>
      <c r="Z71" s="182"/>
      <c r="AA71" s="182"/>
      <c r="AB71" s="184"/>
      <c r="AC71" s="167"/>
      <c r="AD71" s="167"/>
      <c r="AE71" s="178"/>
    </row>
    <row r="72" spans="1:31" s="38" customFormat="1">
      <c r="A72" s="183" t="s">
        <v>307</v>
      </c>
      <c r="B72" s="183" t="s">
        <v>308</v>
      </c>
      <c r="C72" s="181">
        <v>13.65</v>
      </c>
      <c r="D72" s="181">
        <v>13.65</v>
      </c>
      <c r="E72" s="181"/>
      <c r="F72" s="182">
        <v>0</v>
      </c>
      <c r="G72" s="182">
        <v>0</v>
      </c>
      <c r="H72" s="182">
        <v>0</v>
      </c>
      <c r="I72" s="182">
        <v>0</v>
      </c>
      <c r="J72" s="182">
        <v>0</v>
      </c>
      <c r="K72" s="182">
        <v>13.65</v>
      </c>
      <c r="L72" s="182">
        <v>0</v>
      </c>
      <c r="M72" s="182">
        <v>0</v>
      </c>
      <c r="N72" s="182">
        <v>0</v>
      </c>
      <c r="O72" s="182">
        <v>0</v>
      </c>
      <c r="P72" s="178">
        <f t="shared" si="2"/>
        <v>13.65</v>
      </c>
      <c r="Q72" s="167"/>
      <c r="R72" s="182"/>
      <c r="S72" s="182"/>
      <c r="T72" s="182"/>
      <c r="U72" s="182"/>
      <c r="V72" s="182"/>
      <c r="W72" s="182"/>
      <c r="X72" s="182"/>
      <c r="Y72" s="182"/>
      <c r="Z72" s="182"/>
      <c r="AA72" s="182"/>
      <c r="AB72" s="184"/>
      <c r="AC72" s="167"/>
      <c r="AD72" s="167"/>
      <c r="AE72" s="178"/>
    </row>
    <row r="73" spans="1:31" s="38" customFormat="1">
      <c r="A73" s="183" t="s">
        <v>309</v>
      </c>
      <c r="B73" s="183" t="s">
        <v>310</v>
      </c>
      <c r="C73" s="181">
        <v>0</v>
      </c>
      <c r="D73" s="181">
        <v>0</v>
      </c>
      <c r="E73" s="181"/>
      <c r="F73" s="182">
        <v>0</v>
      </c>
      <c r="G73" s="182">
        <v>0</v>
      </c>
      <c r="H73" s="182">
        <v>0</v>
      </c>
      <c r="I73" s="182">
        <v>0</v>
      </c>
      <c r="J73" s="182">
        <v>0</v>
      </c>
      <c r="K73" s="182">
        <v>0</v>
      </c>
      <c r="L73" s="182">
        <v>0</v>
      </c>
      <c r="M73" s="182">
        <v>0</v>
      </c>
      <c r="N73" s="182">
        <v>0</v>
      </c>
      <c r="O73" s="182">
        <v>0</v>
      </c>
      <c r="P73" s="178">
        <f t="shared" si="2"/>
        <v>0</v>
      </c>
      <c r="Q73" s="167"/>
      <c r="R73" s="182"/>
      <c r="S73" s="182"/>
      <c r="T73" s="182"/>
      <c r="U73" s="182"/>
      <c r="V73" s="182"/>
      <c r="W73" s="182"/>
      <c r="X73" s="182"/>
      <c r="Y73" s="182"/>
      <c r="Z73" s="182"/>
      <c r="AA73" s="182"/>
      <c r="AB73" s="184"/>
      <c r="AC73" s="167"/>
      <c r="AD73" s="167"/>
      <c r="AE73" s="178"/>
    </row>
    <row r="74" spans="1:31" s="38" customFormat="1">
      <c r="A74" s="183" t="s">
        <v>311</v>
      </c>
      <c r="B74" s="183" t="s">
        <v>312</v>
      </c>
      <c r="C74" s="181">
        <v>10.5</v>
      </c>
      <c r="D74" s="181">
        <v>10.5</v>
      </c>
      <c r="E74" s="181"/>
      <c r="F74" s="182">
        <v>0</v>
      </c>
      <c r="G74" s="182">
        <v>0</v>
      </c>
      <c r="H74" s="182">
        <v>0</v>
      </c>
      <c r="I74" s="182">
        <v>0</v>
      </c>
      <c r="J74" s="182">
        <v>0</v>
      </c>
      <c r="K74" s="182">
        <v>0</v>
      </c>
      <c r="L74" s="182">
        <v>10.5</v>
      </c>
      <c r="M74" s="182">
        <v>0</v>
      </c>
      <c r="N74" s="182">
        <v>0</v>
      </c>
      <c r="O74" s="182">
        <v>0</v>
      </c>
      <c r="P74" s="178">
        <f t="shared" si="2"/>
        <v>10.5</v>
      </c>
      <c r="Q74" s="167"/>
      <c r="R74" s="182"/>
      <c r="S74" s="182"/>
      <c r="T74" s="182"/>
      <c r="U74" s="182"/>
      <c r="V74" s="182"/>
      <c r="W74" s="182"/>
      <c r="X74" s="182"/>
      <c r="Y74" s="182"/>
      <c r="Z74" s="182"/>
      <c r="AA74" s="182"/>
      <c r="AB74" s="184"/>
      <c r="AC74" s="167"/>
      <c r="AD74" s="167"/>
      <c r="AE74" s="178"/>
    </row>
    <row r="75" spans="1:31" s="38" customFormat="1">
      <c r="A75" s="183" t="s">
        <v>313</v>
      </c>
      <c r="B75" s="183" t="s">
        <v>314</v>
      </c>
      <c r="C75" s="181">
        <v>4</v>
      </c>
      <c r="D75" s="181">
        <v>4</v>
      </c>
      <c r="E75" s="181"/>
      <c r="F75" s="182">
        <v>16</v>
      </c>
      <c r="G75" s="182">
        <v>8</v>
      </c>
      <c r="H75" s="182">
        <v>0</v>
      </c>
      <c r="I75" s="182">
        <v>0</v>
      </c>
      <c r="J75" s="182">
        <v>0</v>
      </c>
      <c r="K75" s="182">
        <v>8</v>
      </c>
      <c r="L75" s="182">
        <v>8</v>
      </c>
      <c r="M75" s="182">
        <v>16</v>
      </c>
      <c r="N75" s="182">
        <v>0</v>
      </c>
      <c r="O75" s="182">
        <v>0</v>
      </c>
      <c r="P75" s="178">
        <f t="shared" si="2"/>
        <v>56</v>
      </c>
      <c r="Q75" s="167"/>
      <c r="R75" s="182"/>
      <c r="S75" s="182"/>
      <c r="T75" s="182"/>
      <c r="U75" s="182"/>
      <c r="V75" s="182"/>
      <c r="W75" s="182"/>
      <c r="X75" s="182"/>
      <c r="Y75" s="182"/>
      <c r="Z75" s="182"/>
      <c r="AA75" s="182"/>
      <c r="AB75" s="184"/>
      <c r="AC75" s="167"/>
      <c r="AD75" s="167"/>
      <c r="AE75" s="178"/>
    </row>
    <row r="76" spans="1:31" s="38" customFormat="1">
      <c r="A76" s="183" t="s">
        <v>315</v>
      </c>
      <c r="B76" s="183" t="s">
        <v>316</v>
      </c>
      <c r="C76" s="181">
        <v>4.0199999999999996</v>
      </c>
      <c r="D76" s="181">
        <v>4.0199999999999996</v>
      </c>
      <c r="E76" s="181"/>
      <c r="F76" s="182">
        <v>40.200000000000003</v>
      </c>
      <c r="G76" s="182">
        <v>22.11</v>
      </c>
      <c r="H76" s="182">
        <v>22.11</v>
      </c>
      <c r="I76" s="182">
        <v>28.14</v>
      </c>
      <c r="J76" s="182">
        <v>28.14</v>
      </c>
      <c r="K76" s="182">
        <v>28.14</v>
      </c>
      <c r="L76" s="182">
        <v>28.14</v>
      </c>
      <c r="M76" s="182">
        <v>32.160000000000004</v>
      </c>
      <c r="N76" s="182">
        <v>32.160000000000004</v>
      </c>
      <c r="O76" s="182">
        <v>92.460000000000008</v>
      </c>
      <c r="P76" s="178">
        <f t="shared" ref="P76:P87" si="12">SUM(F76:O76)</f>
        <v>353.76</v>
      </c>
      <c r="Q76" s="167"/>
      <c r="R76" s="182"/>
      <c r="S76" s="182"/>
      <c r="T76" s="182"/>
      <c r="U76" s="182"/>
      <c r="V76" s="182"/>
      <c r="W76" s="182"/>
      <c r="X76" s="182"/>
      <c r="Y76" s="182"/>
      <c r="Z76" s="182"/>
      <c r="AA76" s="182"/>
      <c r="AB76" s="184"/>
      <c r="AC76" s="167"/>
      <c r="AD76" s="167"/>
      <c r="AE76" s="178"/>
    </row>
    <row r="77" spans="1:31" s="38" customFormat="1">
      <c r="A77" s="183" t="s">
        <v>317</v>
      </c>
      <c r="B77" s="183" t="s">
        <v>318</v>
      </c>
      <c r="C77" s="181">
        <v>8.0399999999999991</v>
      </c>
      <c r="D77" s="181">
        <v>8.0399999999999991</v>
      </c>
      <c r="E77" s="181"/>
      <c r="F77" s="182">
        <v>442.2</v>
      </c>
      <c r="G77" s="182">
        <v>442.20000000000005</v>
      </c>
      <c r="H77" s="182">
        <v>430.14</v>
      </c>
      <c r="I77" s="182">
        <v>414.06</v>
      </c>
      <c r="J77" s="182">
        <v>385.92</v>
      </c>
      <c r="K77" s="182">
        <v>397.98</v>
      </c>
      <c r="L77" s="182">
        <v>397.98</v>
      </c>
      <c r="M77" s="182">
        <v>313.56</v>
      </c>
      <c r="N77" s="182">
        <v>377.88</v>
      </c>
      <c r="O77" s="182">
        <v>1226.1000000000001</v>
      </c>
      <c r="P77" s="178">
        <f t="shared" si="12"/>
        <v>4828.0200000000004</v>
      </c>
      <c r="Q77" s="167"/>
      <c r="R77" s="182"/>
      <c r="S77" s="182"/>
      <c r="T77" s="182"/>
      <c r="U77" s="182"/>
      <c r="V77" s="182"/>
      <c r="W77" s="182"/>
      <c r="X77" s="182"/>
      <c r="Y77" s="182"/>
      <c r="Z77" s="182"/>
      <c r="AA77" s="182"/>
      <c r="AB77" s="184"/>
      <c r="AC77" s="167"/>
      <c r="AD77" s="167"/>
      <c r="AE77" s="178"/>
    </row>
    <row r="78" spans="1:31" s="38" customFormat="1">
      <c r="A78" s="183" t="s">
        <v>319</v>
      </c>
      <c r="B78" s="183" t="s">
        <v>320</v>
      </c>
      <c r="C78" s="181">
        <v>8.82</v>
      </c>
      <c r="D78" s="181">
        <v>8.82</v>
      </c>
      <c r="E78" s="181"/>
      <c r="F78" s="182">
        <v>8.82</v>
      </c>
      <c r="G78" s="182">
        <v>8.82</v>
      </c>
      <c r="H78" s="182">
        <v>8.82</v>
      </c>
      <c r="I78" s="182">
        <v>8.82</v>
      </c>
      <c r="J78" s="182">
        <v>8.82</v>
      </c>
      <c r="K78" s="182">
        <v>8.82</v>
      </c>
      <c r="L78" s="182">
        <v>8.82</v>
      </c>
      <c r="M78" s="182">
        <v>8.82</v>
      </c>
      <c r="N78" s="182">
        <v>8.82</v>
      </c>
      <c r="O78" s="182">
        <v>26.46</v>
      </c>
      <c r="P78" s="178">
        <f t="shared" si="12"/>
        <v>105.84</v>
      </c>
      <c r="Q78" s="167"/>
      <c r="R78" s="182"/>
      <c r="S78" s="182"/>
      <c r="T78" s="182"/>
      <c r="U78" s="182"/>
      <c r="V78" s="182"/>
      <c r="W78" s="182"/>
      <c r="X78" s="182"/>
      <c r="Y78" s="182"/>
      <c r="Z78" s="182"/>
      <c r="AA78" s="182"/>
      <c r="AB78" s="184"/>
      <c r="AC78" s="167"/>
      <c r="AD78" s="167"/>
      <c r="AE78" s="178"/>
    </row>
    <row r="79" spans="1:31" s="38" customFormat="1">
      <c r="A79" s="183" t="s">
        <v>321</v>
      </c>
      <c r="B79" s="183" t="s">
        <v>322</v>
      </c>
      <c r="C79" s="181">
        <v>4.08</v>
      </c>
      <c r="D79" s="181">
        <v>4.08</v>
      </c>
      <c r="E79" s="181"/>
      <c r="F79" s="182">
        <v>28.560000000000002</v>
      </c>
      <c r="G79" s="182">
        <v>22.439999999999998</v>
      </c>
      <c r="H79" s="182">
        <v>22.439999999999998</v>
      </c>
      <c r="I79" s="182">
        <v>44.88</v>
      </c>
      <c r="J79" s="182">
        <v>44.88</v>
      </c>
      <c r="K79" s="182">
        <v>40.799999999999997</v>
      </c>
      <c r="L79" s="182">
        <v>36.72</v>
      </c>
      <c r="M79" s="182">
        <v>36.72</v>
      </c>
      <c r="N79" s="182">
        <v>36.72</v>
      </c>
      <c r="O79" s="182">
        <v>97.92</v>
      </c>
      <c r="P79" s="178">
        <f t="shared" si="12"/>
        <v>412.08</v>
      </c>
      <c r="Q79" s="167"/>
      <c r="R79" s="182"/>
      <c r="S79" s="182"/>
      <c r="T79" s="182"/>
      <c r="U79" s="182"/>
      <c r="V79" s="182"/>
      <c r="W79" s="182"/>
      <c r="X79" s="182"/>
      <c r="Y79" s="182"/>
      <c r="Z79" s="182"/>
      <c r="AA79" s="182"/>
      <c r="AB79" s="184"/>
      <c r="AC79" s="167"/>
      <c r="AD79" s="167"/>
      <c r="AE79" s="178"/>
    </row>
    <row r="80" spans="1:31" s="38" customFormat="1">
      <c r="A80" s="183" t="s">
        <v>323</v>
      </c>
      <c r="B80" s="183" t="s">
        <v>324</v>
      </c>
      <c r="C80" s="181">
        <v>5.66</v>
      </c>
      <c r="D80" s="181">
        <v>5.66</v>
      </c>
      <c r="E80" s="181"/>
      <c r="F80" s="182">
        <v>16.98</v>
      </c>
      <c r="G80" s="182">
        <v>16.98</v>
      </c>
      <c r="H80" s="182">
        <v>16.98</v>
      </c>
      <c r="I80" s="182">
        <v>16.98</v>
      </c>
      <c r="J80" s="182">
        <v>16.98</v>
      </c>
      <c r="K80" s="182">
        <v>16.98</v>
      </c>
      <c r="L80" s="182">
        <v>16.98</v>
      </c>
      <c r="M80" s="182">
        <v>16.98</v>
      </c>
      <c r="N80" s="182">
        <v>16.98</v>
      </c>
      <c r="O80" s="182">
        <v>50.94</v>
      </c>
      <c r="P80" s="178">
        <f t="shared" si="12"/>
        <v>203.76</v>
      </c>
      <c r="Q80" s="167"/>
      <c r="R80" s="182"/>
      <c r="S80" s="182"/>
      <c r="T80" s="182"/>
      <c r="U80" s="182"/>
      <c r="V80" s="182"/>
      <c r="W80" s="182"/>
      <c r="X80" s="182"/>
      <c r="Y80" s="182"/>
      <c r="Z80" s="182"/>
      <c r="AA80" s="182"/>
      <c r="AB80" s="184"/>
      <c r="AC80" s="167"/>
      <c r="AD80" s="167"/>
      <c r="AE80" s="178"/>
    </row>
    <row r="81" spans="1:31" s="38" customFormat="1">
      <c r="A81" s="183" t="s">
        <v>325</v>
      </c>
      <c r="B81" s="183" t="s">
        <v>326</v>
      </c>
      <c r="C81" s="181">
        <v>2.5</v>
      </c>
      <c r="D81" s="181">
        <v>2.5</v>
      </c>
      <c r="E81" s="181"/>
      <c r="F81" s="182">
        <v>90</v>
      </c>
      <c r="G81" s="182">
        <v>90</v>
      </c>
      <c r="H81" s="182">
        <v>86.25</v>
      </c>
      <c r="I81" s="182">
        <v>83.75</v>
      </c>
      <c r="J81" s="182">
        <v>85</v>
      </c>
      <c r="K81" s="182">
        <v>83.75</v>
      </c>
      <c r="L81" s="182">
        <v>88.75</v>
      </c>
      <c r="M81" s="182">
        <v>83.75</v>
      </c>
      <c r="N81" s="182">
        <v>83.75</v>
      </c>
      <c r="O81" s="182">
        <v>247.5</v>
      </c>
      <c r="P81" s="178">
        <f>SUM(F81:O81)</f>
        <v>1022.5</v>
      </c>
      <c r="Q81" s="167"/>
      <c r="R81" s="182"/>
      <c r="S81" s="182"/>
      <c r="T81" s="182"/>
      <c r="U81" s="182"/>
      <c r="V81" s="182"/>
      <c r="W81" s="182"/>
      <c r="X81" s="182"/>
      <c r="Y81" s="182"/>
      <c r="Z81" s="182"/>
      <c r="AA81" s="182"/>
      <c r="AB81" s="184"/>
      <c r="AC81" s="167"/>
      <c r="AD81" s="167"/>
      <c r="AE81" s="178"/>
    </row>
    <row r="82" spans="1:31" s="38" customFormat="1">
      <c r="A82" s="183" t="s">
        <v>327</v>
      </c>
      <c r="B82" s="183" t="s">
        <v>328</v>
      </c>
      <c r="C82" s="181">
        <v>7.24</v>
      </c>
      <c r="D82" s="181">
        <v>7.24</v>
      </c>
      <c r="E82" s="181"/>
      <c r="F82" s="182">
        <v>7.24</v>
      </c>
      <c r="G82" s="182">
        <v>7.24</v>
      </c>
      <c r="H82" s="182">
        <v>7.24</v>
      </c>
      <c r="I82" s="182">
        <v>7.24</v>
      </c>
      <c r="J82" s="182">
        <v>7.24</v>
      </c>
      <c r="K82" s="182">
        <v>7.24</v>
      </c>
      <c r="L82" s="182">
        <v>7.24</v>
      </c>
      <c r="M82" s="182">
        <v>7.24</v>
      </c>
      <c r="N82" s="182">
        <v>7.24</v>
      </c>
      <c r="O82" s="182">
        <v>21.72</v>
      </c>
      <c r="P82" s="178">
        <f t="shared" si="12"/>
        <v>86.88000000000001</v>
      </c>
      <c r="Q82" s="167"/>
      <c r="R82" s="182"/>
      <c r="S82" s="182"/>
      <c r="T82" s="182"/>
      <c r="U82" s="182"/>
      <c r="V82" s="182"/>
      <c r="W82" s="182"/>
      <c r="X82" s="182"/>
      <c r="Y82" s="182"/>
      <c r="Z82" s="182"/>
      <c r="AA82" s="182"/>
      <c r="AB82" s="184"/>
      <c r="AC82" s="167"/>
      <c r="AD82" s="167"/>
      <c r="AE82" s="178"/>
    </row>
    <row r="83" spans="1:31" s="38" customFormat="1">
      <c r="A83" s="183" t="s">
        <v>329</v>
      </c>
      <c r="B83" s="183" t="s">
        <v>330</v>
      </c>
      <c r="C83" s="181">
        <v>0</v>
      </c>
      <c r="D83" s="181">
        <v>0</v>
      </c>
      <c r="E83" s="181"/>
      <c r="F83" s="182">
        <v>-853.75</v>
      </c>
      <c r="G83" s="182">
        <v>0</v>
      </c>
      <c r="H83" s="182">
        <v>0</v>
      </c>
      <c r="I83" s="182">
        <v>0</v>
      </c>
      <c r="J83" s="182">
        <v>0</v>
      </c>
      <c r="K83" s="182">
        <v>0</v>
      </c>
      <c r="L83" s="182">
        <v>0</v>
      </c>
      <c r="M83" s="182">
        <v>0</v>
      </c>
      <c r="N83" s="182">
        <v>0</v>
      </c>
      <c r="O83" s="182">
        <v>0</v>
      </c>
      <c r="P83" s="178">
        <f t="shared" si="12"/>
        <v>-853.75</v>
      </c>
      <c r="Q83" s="167"/>
      <c r="R83" s="182"/>
      <c r="S83" s="182"/>
      <c r="T83" s="182"/>
      <c r="U83" s="182"/>
      <c r="V83" s="182"/>
      <c r="W83" s="182"/>
      <c r="X83" s="182"/>
      <c r="Y83" s="182"/>
      <c r="Z83" s="182"/>
      <c r="AA83" s="182"/>
      <c r="AB83" s="184"/>
      <c r="AC83" s="167"/>
      <c r="AD83" s="167"/>
      <c r="AE83" s="178"/>
    </row>
    <row r="84" spans="1:31" s="38" customFormat="1">
      <c r="A84" s="183" t="s">
        <v>331</v>
      </c>
      <c r="B84" s="183" t="s">
        <v>332</v>
      </c>
      <c r="C84" s="181">
        <v>0</v>
      </c>
      <c r="D84" s="181">
        <v>0</v>
      </c>
      <c r="E84" s="181"/>
      <c r="F84" s="182">
        <v>-0.10999999999999976</v>
      </c>
      <c r="G84" s="182">
        <v>-0.25</v>
      </c>
      <c r="H84" s="182">
        <v>-7.91</v>
      </c>
      <c r="I84" s="182">
        <v>-80.12</v>
      </c>
      <c r="J84" s="182">
        <v>-24.84</v>
      </c>
      <c r="K84" s="182">
        <v>-43.95</v>
      </c>
      <c r="L84" s="182">
        <v>-8.379999999999999</v>
      </c>
      <c r="M84" s="182">
        <v>0</v>
      </c>
      <c r="N84" s="182">
        <v>0.79</v>
      </c>
      <c r="O84" s="182">
        <v>-86.009999999999991</v>
      </c>
      <c r="P84" s="178">
        <f t="shared" si="12"/>
        <v>-250.78</v>
      </c>
      <c r="Q84" s="167"/>
      <c r="R84" s="182"/>
      <c r="S84" s="182"/>
      <c r="T84" s="182"/>
      <c r="U84" s="182"/>
      <c r="V84" s="182"/>
      <c r="W84" s="182"/>
      <c r="X84" s="182"/>
      <c r="Y84" s="182"/>
      <c r="Z84" s="182"/>
      <c r="AA84" s="182"/>
      <c r="AB84" s="184"/>
      <c r="AC84" s="167"/>
      <c r="AD84" s="167"/>
      <c r="AE84" s="178"/>
    </row>
    <row r="85" spans="1:31" s="38" customFormat="1">
      <c r="A85" s="183" t="s">
        <v>333</v>
      </c>
      <c r="B85" s="183" t="s">
        <v>334</v>
      </c>
      <c r="C85" s="181">
        <v>0</v>
      </c>
      <c r="D85" s="181">
        <v>0</v>
      </c>
      <c r="E85" s="181"/>
      <c r="F85" s="182">
        <v>-38.94</v>
      </c>
      <c r="G85" s="182">
        <v>-3.84</v>
      </c>
      <c r="H85" s="182">
        <v>0</v>
      </c>
      <c r="I85" s="182">
        <v>0</v>
      </c>
      <c r="J85" s="182">
        <v>-0.33999999999999997</v>
      </c>
      <c r="K85" s="182">
        <v>0</v>
      </c>
      <c r="L85" s="182">
        <v>0</v>
      </c>
      <c r="M85" s="182">
        <v>0</v>
      </c>
      <c r="N85" s="182">
        <v>0</v>
      </c>
      <c r="O85" s="182">
        <v>0</v>
      </c>
      <c r="P85" s="178">
        <f t="shared" si="12"/>
        <v>-43.120000000000005</v>
      </c>
      <c r="Q85" s="167"/>
      <c r="R85" s="182"/>
      <c r="S85" s="182"/>
      <c r="T85" s="182"/>
      <c r="U85" s="182"/>
      <c r="V85" s="182"/>
      <c r="W85" s="182"/>
      <c r="X85" s="182"/>
      <c r="Y85" s="182"/>
      <c r="Z85" s="182"/>
      <c r="AA85" s="182"/>
      <c r="AB85" s="184"/>
      <c r="AC85" s="167"/>
      <c r="AD85" s="167"/>
      <c r="AE85" s="178"/>
    </row>
    <row r="86" spans="1:31" s="38" customFormat="1">
      <c r="A86" s="183" t="s">
        <v>335</v>
      </c>
      <c r="B86" s="183" t="s">
        <v>336</v>
      </c>
      <c r="C86" s="181">
        <v>0</v>
      </c>
      <c r="D86" s="181">
        <v>0</v>
      </c>
      <c r="E86" s="181"/>
      <c r="F86" s="182">
        <v>0</v>
      </c>
      <c r="G86" s="182">
        <v>0</v>
      </c>
      <c r="H86" s="182">
        <v>0</v>
      </c>
      <c r="I86" s="182">
        <v>0</v>
      </c>
      <c r="J86" s="182">
        <v>0</v>
      </c>
      <c r="K86" s="182">
        <v>0</v>
      </c>
      <c r="L86" s="182">
        <v>0</v>
      </c>
      <c r="M86" s="182">
        <v>-0.875</v>
      </c>
      <c r="N86" s="182">
        <v>-0.875</v>
      </c>
      <c r="O86" s="182">
        <v>0</v>
      </c>
      <c r="P86" s="178">
        <f t="shared" si="12"/>
        <v>-1.75</v>
      </c>
      <c r="Q86" s="167"/>
      <c r="R86" s="182"/>
      <c r="S86" s="182"/>
      <c r="T86" s="182"/>
      <c r="U86" s="182"/>
      <c r="V86" s="182"/>
      <c r="W86" s="182"/>
      <c r="X86" s="182"/>
      <c r="Y86" s="182"/>
      <c r="Z86" s="182"/>
      <c r="AA86" s="182"/>
      <c r="AB86" s="184"/>
      <c r="AC86" s="167"/>
      <c r="AD86" s="167"/>
      <c r="AE86" s="178"/>
    </row>
    <row r="87" spans="1:31" s="38" customFormat="1">
      <c r="A87" s="183" t="s">
        <v>337</v>
      </c>
      <c r="B87" s="183" t="s">
        <v>338</v>
      </c>
      <c r="C87" s="181">
        <v>0</v>
      </c>
      <c r="D87" s="181">
        <v>0</v>
      </c>
      <c r="E87" s="181"/>
      <c r="F87" s="182">
        <v>0</v>
      </c>
      <c r="G87" s="182">
        <v>0</v>
      </c>
      <c r="H87" s="182">
        <v>0</v>
      </c>
      <c r="I87" s="182">
        <v>0</v>
      </c>
      <c r="J87" s="182">
        <v>0</v>
      </c>
      <c r="K87" s="182">
        <v>0</v>
      </c>
      <c r="L87" s="182">
        <v>0</v>
      </c>
      <c r="M87" s="182">
        <v>0</v>
      </c>
      <c r="N87" s="182">
        <v>0</v>
      </c>
      <c r="O87" s="182">
        <v>-27.54</v>
      </c>
      <c r="P87" s="178">
        <f t="shared" si="12"/>
        <v>-27.54</v>
      </c>
      <c r="Q87" s="167"/>
      <c r="R87" s="182"/>
      <c r="S87" s="182"/>
      <c r="T87" s="182"/>
      <c r="U87" s="182"/>
      <c r="V87" s="182"/>
      <c r="W87" s="182"/>
      <c r="X87" s="182"/>
      <c r="Y87" s="182"/>
      <c r="Z87" s="182"/>
      <c r="AA87" s="182"/>
      <c r="AB87" s="184"/>
      <c r="AC87" s="167"/>
      <c r="AD87" s="167"/>
      <c r="AE87" s="178"/>
    </row>
    <row r="88" spans="1:31" s="38" customFormat="1">
      <c r="A88" s="183" t="s">
        <v>339</v>
      </c>
      <c r="B88" s="183" t="s">
        <v>340</v>
      </c>
      <c r="C88" s="181"/>
      <c r="D88" s="181"/>
      <c r="E88" s="181"/>
      <c r="F88" s="182">
        <v>0.51</v>
      </c>
      <c r="G88" s="182">
        <v>0.09</v>
      </c>
      <c r="H88" s="182">
        <v>0.08</v>
      </c>
      <c r="I88" s="182">
        <v>0.33</v>
      </c>
      <c r="J88" s="182">
        <v>0.435</v>
      </c>
      <c r="K88" s="182">
        <v>0.32500000000000001</v>
      </c>
      <c r="L88" s="182">
        <v>0.34</v>
      </c>
      <c r="M88" s="182">
        <v>0.34</v>
      </c>
      <c r="N88" s="182">
        <v>0.51</v>
      </c>
      <c r="O88" s="182">
        <v>0</v>
      </c>
      <c r="P88" s="178">
        <f>SUM(F88:O88)</f>
        <v>2.96</v>
      </c>
      <c r="Q88" s="167"/>
      <c r="R88" s="182"/>
      <c r="S88" s="182"/>
      <c r="T88" s="182"/>
      <c r="U88" s="182"/>
      <c r="V88" s="182"/>
      <c r="W88" s="182"/>
      <c r="X88" s="182"/>
      <c r="Y88" s="182"/>
      <c r="Z88" s="182"/>
      <c r="AA88" s="182"/>
      <c r="AB88" s="184"/>
      <c r="AC88" s="167"/>
      <c r="AD88" s="167"/>
      <c r="AE88" s="178"/>
    </row>
    <row r="89" spans="1:31" s="38" customFormat="1">
      <c r="A89" s="186" t="s">
        <v>341</v>
      </c>
      <c r="B89" s="186" t="s">
        <v>340</v>
      </c>
      <c r="C89" s="181"/>
      <c r="D89" s="181"/>
      <c r="E89" s="181"/>
      <c r="F89" s="182">
        <v>683.91</v>
      </c>
      <c r="G89" s="182">
        <v>1658.26</v>
      </c>
      <c r="H89" s="182">
        <v>888.61999999999989</v>
      </c>
      <c r="I89" s="182">
        <v>2235.73</v>
      </c>
      <c r="J89" s="182">
        <v>533.29000000000008</v>
      </c>
      <c r="K89" s="182">
        <v>1281.24</v>
      </c>
      <c r="L89" s="182">
        <v>703.5300000000002</v>
      </c>
      <c r="M89" s="182">
        <v>1689.6499999999999</v>
      </c>
      <c r="N89" s="182">
        <v>724.17</v>
      </c>
      <c r="O89" s="182">
        <v>0</v>
      </c>
      <c r="P89" s="178">
        <f>SUM(F89:O89)</f>
        <v>10398.4</v>
      </c>
      <c r="Q89" s="167"/>
      <c r="R89" s="182"/>
      <c r="S89" s="182"/>
      <c r="T89" s="182"/>
      <c r="U89" s="182"/>
      <c r="V89" s="182"/>
      <c r="W89" s="182"/>
      <c r="X89" s="182"/>
      <c r="Y89" s="182"/>
      <c r="Z89" s="182"/>
      <c r="AA89" s="182"/>
      <c r="AB89" s="184"/>
      <c r="AC89" s="167"/>
      <c r="AD89" s="167"/>
      <c r="AE89" s="178"/>
    </row>
    <row r="90" spans="1:31" s="38" customFormat="1">
      <c r="A90" s="186"/>
      <c r="B90" s="186"/>
      <c r="C90" s="181"/>
      <c r="D90" s="181"/>
      <c r="E90" s="181"/>
      <c r="F90" s="182"/>
      <c r="G90" s="182"/>
      <c r="H90" s="182"/>
      <c r="I90" s="182"/>
      <c r="J90" s="182"/>
      <c r="K90" s="182"/>
      <c r="L90" s="182"/>
      <c r="M90" s="182"/>
      <c r="N90" s="182"/>
      <c r="O90" s="182"/>
      <c r="P90" s="178"/>
      <c r="Q90" s="167"/>
      <c r="R90" s="182"/>
      <c r="S90" s="182"/>
      <c r="T90" s="182"/>
      <c r="U90" s="182"/>
      <c r="V90" s="182"/>
      <c r="W90" s="182"/>
      <c r="X90" s="182"/>
      <c r="Y90" s="182"/>
      <c r="Z90" s="182"/>
      <c r="AA90" s="182"/>
      <c r="AB90" s="184"/>
      <c r="AC90" s="167"/>
      <c r="AD90" s="167"/>
      <c r="AE90" s="178"/>
    </row>
    <row r="91" spans="1:31" s="38" customFormat="1">
      <c r="A91" s="186"/>
      <c r="B91" s="186"/>
      <c r="C91" s="181"/>
      <c r="D91" s="181"/>
      <c r="E91" s="181"/>
      <c r="F91" s="182"/>
      <c r="G91" s="182"/>
      <c r="H91" s="182"/>
      <c r="I91" s="182"/>
      <c r="J91" s="182"/>
      <c r="K91" s="182"/>
      <c r="L91" s="182"/>
      <c r="M91" s="182"/>
      <c r="N91" s="182"/>
      <c r="O91" s="182"/>
      <c r="P91" s="178"/>
      <c r="Q91" s="167"/>
      <c r="R91" s="182"/>
      <c r="S91" s="182"/>
      <c r="T91" s="182"/>
      <c r="U91" s="182"/>
      <c r="V91" s="182"/>
      <c r="W91" s="182"/>
      <c r="X91" s="182"/>
      <c r="Y91" s="182"/>
      <c r="Z91" s="182"/>
      <c r="AA91" s="182"/>
      <c r="AB91" s="184"/>
      <c r="AC91" s="167"/>
      <c r="AD91" s="167"/>
      <c r="AE91" s="178"/>
    </row>
    <row r="92" spans="1:31" s="38" customFormat="1">
      <c r="A92" s="187"/>
      <c r="B92" s="188" t="s">
        <v>342</v>
      </c>
      <c r="C92" s="181"/>
      <c r="D92" s="181"/>
      <c r="E92" s="189">
        <f t="shared" ref="E92:N92" si="13">SUM(E11:E89)</f>
        <v>0</v>
      </c>
      <c r="F92" s="189">
        <f t="shared" si="13"/>
        <v>108770.66999999998</v>
      </c>
      <c r="G92" s="189">
        <f t="shared" si="13"/>
        <v>108793.19000000002</v>
      </c>
      <c r="H92" s="189">
        <f t="shared" si="13"/>
        <v>106891.59000000001</v>
      </c>
      <c r="I92" s="189">
        <f t="shared" si="13"/>
        <v>110369.18499999998</v>
      </c>
      <c r="J92" s="189">
        <f t="shared" si="13"/>
        <v>108517.68999999999</v>
      </c>
      <c r="K92" s="189">
        <f t="shared" si="13"/>
        <v>108710.19499999999</v>
      </c>
      <c r="L92" s="189">
        <f t="shared" si="13"/>
        <v>108970.00499999999</v>
      </c>
      <c r="M92" s="189">
        <f t="shared" si="13"/>
        <v>111372.52499999999</v>
      </c>
      <c r="N92" s="189">
        <f t="shared" si="13"/>
        <v>110695.40000000001</v>
      </c>
      <c r="O92" s="189">
        <f>SUM(O11:O89)</f>
        <v>331572.35999999987</v>
      </c>
      <c r="P92" s="189">
        <f>SUM(P11:P89)</f>
        <v>1314662.8099999996</v>
      </c>
      <c r="Q92" s="167"/>
      <c r="R92" s="182"/>
      <c r="S92" s="182"/>
      <c r="T92" s="182"/>
      <c r="U92" s="182"/>
      <c r="V92" s="182"/>
      <c r="W92" s="182"/>
      <c r="X92" s="182"/>
      <c r="Y92" s="182"/>
      <c r="Z92" s="182"/>
      <c r="AA92" s="182"/>
      <c r="AB92" s="184"/>
      <c r="AC92" s="167"/>
      <c r="AD92" s="167"/>
      <c r="AE92" s="178"/>
    </row>
    <row r="93" spans="1:31" s="38" customFormat="1">
      <c r="A93" s="179"/>
      <c r="B93" s="190"/>
      <c r="C93" s="181"/>
      <c r="D93" s="181"/>
      <c r="E93" s="181"/>
      <c r="F93" s="182"/>
      <c r="G93" s="182"/>
      <c r="H93" s="182"/>
      <c r="I93" s="182"/>
      <c r="J93" s="182"/>
      <c r="K93" s="182"/>
      <c r="L93" s="182"/>
      <c r="M93" s="182"/>
      <c r="N93" s="182"/>
      <c r="O93" s="182"/>
      <c r="P93" s="178"/>
      <c r="Q93" s="167"/>
      <c r="R93" s="182"/>
      <c r="S93" s="182"/>
      <c r="T93" s="182"/>
      <c r="U93" s="182"/>
      <c r="V93" s="182"/>
      <c r="W93" s="182"/>
      <c r="X93" s="182"/>
      <c r="Y93" s="182"/>
      <c r="Z93" s="182"/>
      <c r="AA93" s="182"/>
      <c r="AB93" s="184"/>
      <c r="AC93" s="167"/>
      <c r="AD93" s="167"/>
      <c r="AE93" s="178"/>
    </row>
    <row r="94" spans="1:31" s="38" customFormat="1">
      <c r="A94" s="187"/>
      <c r="B94" s="187"/>
      <c r="C94" s="181"/>
      <c r="D94" s="181"/>
      <c r="E94" s="181"/>
      <c r="F94" s="191"/>
      <c r="G94" s="191"/>
      <c r="H94" s="191"/>
      <c r="I94" s="191"/>
      <c r="J94" s="191"/>
      <c r="K94" s="191"/>
      <c r="L94" s="191"/>
      <c r="M94" s="191"/>
      <c r="N94" s="191"/>
      <c r="O94" s="191"/>
      <c r="P94" s="178"/>
      <c r="Q94" s="167"/>
      <c r="R94" s="182"/>
      <c r="S94" s="182"/>
      <c r="T94" s="182"/>
      <c r="U94" s="182"/>
      <c r="V94" s="182"/>
      <c r="W94" s="182"/>
      <c r="X94" s="182"/>
      <c r="Y94" s="182"/>
      <c r="Z94" s="182"/>
      <c r="AA94" s="182"/>
      <c r="AB94" s="184"/>
      <c r="AC94" s="167"/>
      <c r="AD94" s="167"/>
      <c r="AE94" s="178"/>
    </row>
    <row r="95" spans="1:31">
      <c r="A95" s="179" t="s">
        <v>343</v>
      </c>
      <c r="B95" s="179" t="s">
        <v>343</v>
      </c>
      <c r="C95" s="181"/>
      <c r="D95" s="181"/>
      <c r="R95" s="182"/>
      <c r="S95" s="182"/>
      <c r="T95" s="182"/>
      <c r="U95" s="182"/>
      <c r="V95" s="182"/>
      <c r="W95" s="182"/>
      <c r="X95" s="182"/>
      <c r="Y95" s="182"/>
      <c r="Z95" s="182"/>
      <c r="AA95" s="182"/>
      <c r="AB95" s="184"/>
      <c r="AE95" s="178"/>
    </row>
    <row r="96" spans="1:31">
      <c r="A96" s="179"/>
      <c r="B96" s="179"/>
      <c r="C96" s="181"/>
      <c r="D96" s="181"/>
      <c r="R96" s="182"/>
      <c r="S96" s="182"/>
      <c r="T96" s="182"/>
      <c r="U96" s="182"/>
      <c r="V96" s="182"/>
      <c r="W96" s="182"/>
      <c r="X96" s="182"/>
      <c r="Y96" s="182"/>
      <c r="Z96" s="182"/>
      <c r="AA96" s="182"/>
      <c r="AB96" s="184"/>
      <c r="AE96" s="178"/>
    </row>
    <row r="97" spans="1:31" s="38" customFormat="1">
      <c r="A97" s="180" t="s">
        <v>344</v>
      </c>
      <c r="B97" s="180" t="s">
        <v>344</v>
      </c>
      <c r="C97" s="181"/>
      <c r="D97" s="181"/>
      <c r="E97" s="181"/>
      <c r="F97" s="191"/>
      <c r="G97" s="191"/>
      <c r="H97" s="191"/>
      <c r="I97" s="191"/>
      <c r="J97" s="191"/>
      <c r="K97" s="191"/>
      <c r="L97" s="191"/>
      <c r="M97" s="191"/>
      <c r="N97" s="191"/>
      <c r="O97" s="191"/>
      <c r="P97" s="178"/>
      <c r="Q97" s="167"/>
      <c r="R97" s="182"/>
      <c r="S97" s="182"/>
      <c r="T97" s="182"/>
      <c r="U97" s="182"/>
      <c r="V97" s="182"/>
      <c r="W97" s="182"/>
      <c r="X97" s="182"/>
      <c r="Y97" s="182"/>
      <c r="Z97" s="182"/>
      <c r="AA97" s="182"/>
      <c r="AB97" s="184"/>
      <c r="AC97" s="167"/>
      <c r="AD97" s="167"/>
      <c r="AE97" s="178"/>
    </row>
    <row r="98" spans="1:31" s="38" customFormat="1">
      <c r="A98" s="183" t="s">
        <v>345</v>
      </c>
      <c r="B98" s="183" t="s">
        <v>346</v>
      </c>
      <c r="C98" s="181">
        <v>94.29</v>
      </c>
      <c r="D98" s="181">
        <v>96.41</v>
      </c>
      <c r="E98" s="181"/>
      <c r="F98" s="182">
        <v>8321.09</v>
      </c>
      <c r="G98" s="182">
        <v>8156.09</v>
      </c>
      <c r="H98" s="182">
        <v>8391.8100000000013</v>
      </c>
      <c r="I98" s="182">
        <v>8363.57</v>
      </c>
      <c r="J98" s="182">
        <v>8194.85</v>
      </c>
      <c r="K98" s="182">
        <v>8194.85</v>
      </c>
      <c r="L98" s="182">
        <v>8170.75</v>
      </c>
      <c r="M98" s="182">
        <v>8074.34</v>
      </c>
      <c r="N98" s="182">
        <v>8002.0400000000009</v>
      </c>
      <c r="O98" s="182">
        <v>23981.989999999998</v>
      </c>
      <c r="P98" s="178">
        <f t="shared" ref="P98:P161" si="14">SUM(F98:O98)</f>
        <v>97851.379999999976</v>
      </c>
      <c r="Q98" s="167"/>
      <c r="R98" s="182">
        <f t="shared" ref="R98:T136" si="15">IFERROR(F98/$C98,0)</f>
        <v>88.249973486053662</v>
      </c>
      <c r="S98" s="182">
        <f t="shared" si="15"/>
        <v>86.500053027892662</v>
      </c>
      <c r="T98" s="182">
        <f t="shared" si="15"/>
        <v>89.000000000000014</v>
      </c>
      <c r="U98" s="182">
        <f t="shared" ref="U98:AA113" si="16">IFERROR(I98/$D98,0)</f>
        <v>86.750025930920032</v>
      </c>
      <c r="V98" s="182">
        <f t="shared" si="16"/>
        <v>85</v>
      </c>
      <c r="W98" s="182">
        <f t="shared" si="16"/>
        <v>85</v>
      </c>
      <c r="X98" s="182">
        <f t="shared" si="16"/>
        <v>84.750025930920032</v>
      </c>
      <c r="Y98" s="182">
        <f t="shared" si="16"/>
        <v>83.750025930920032</v>
      </c>
      <c r="Z98" s="182">
        <f t="shared" si="16"/>
        <v>83.000103723680127</v>
      </c>
      <c r="AA98" s="182">
        <f>IFERROR(O98/$D98,0)</f>
        <v>248.75002593092</v>
      </c>
      <c r="AB98" s="184">
        <f>SUM(R98:AA98)</f>
        <v>1020.7502339613065</v>
      </c>
      <c r="AC98" s="182">
        <f t="shared" ref="AC98:AC161" si="17">AB98/12</f>
        <v>85.06251949677555</v>
      </c>
      <c r="AD98" s="185">
        <f>AC98</f>
        <v>85.06251949677555</v>
      </c>
      <c r="AE98" s="178">
        <f t="shared" ref="AE98:AE161" si="18">+P98/AB98</f>
        <v>95.862216577957909</v>
      </c>
    </row>
    <row r="99" spans="1:31" s="38" customFormat="1">
      <c r="A99" s="183" t="s">
        <v>347</v>
      </c>
      <c r="B99" s="183" t="s">
        <v>346</v>
      </c>
      <c r="C99" s="181">
        <v>94.29</v>
      </c>
      <c r="D99" s="181">
        <v>96.41</v>
      </c>
      <c r="E99" s="181"/>
      <c r="F99" s="182">
        <v>1579.36</v>
      </c>
      <c r="G99" s="182">
        <v>1320.07</v>
      </c>
      <c r="H99" s="182">
        <v>1461.5</v>
      </c>
      <c r="I99" s="182">
        <v>1542.57</v>
      </c>
      <c r="J99" s="182">
        <v>1663.0700000000002</v>
      </c>
      <c r="K99" s="182">
        <v>1759.49</v>
      </c>
      <c r="L99" s="182">
        <v>1759.49</v>
      </c>
      <c r="M99" s="182">
        <v>1735.3799999999999</v>
      </c>
      <c r="N99" s="182">
        <v>1791.1599999999999</v>
      </c>
      <c r="O99" s="182">
        <v>5856.92</v>
      </c>
      <c r="P99" s="178">
        <f t="shared" si="14"/>
        <v>20469.009999999998</v>
      </c>
      <c r="Q99" s="167"/>
      <c r="R99" s="182">
        <f t="shared" si="15"/>
        <v>16.750026513946334</v>
      </c>
      <c r="S99" s="182">
        <f t="shared" si="15"/>
        <v>14.000106055785341</v>
      </c>
      <c r="T99" s="182">
        <f t="shared" si="15"/>
        <v>15.500053027892671</v>
      </c>
      <c r="U99" s="182">
        <f t="shared" si="16"/>
        <v>16.000103723680116</v>
      </c>
      <c r="V99" s="182">
        <f t="shared" si="16"/>
        <v>17.249974069079972</v>
      </c>
      <c r="W99" s="182">
        <f t="shared" si="16"/>
        <v>18.250077792760088</v>
      </c>
      <c r="X99" s="182">
        <f t="shared" si="16"/>
        <v>18.250077792760088</v>
      </c>
      <c r="Y99" s="182">
        <f t="shared" si="16"/>
        <v>18</v>
      </c>
      <c r="Z99" s="182">
        <f t="shared" si="16"/>
        <v>18.578570687688</v>
      </c>
      <c r="AA99" s="182">
        <f t="shared" si="16"/>
        <v>60.750129654600151</v>
      </c>
      <c r="AB99" s="184">
        <f t="shared" ref="AB99:AB162" si="19">SUM(R99:AA99)</f>
        <v>213.32911931819277</v>
      </c>
      <c r="AC99" s="182">
        <f t="shared" si="17"/>
        <v>17.777426609849396</v>
      </c>
      <c r="AD99" s="185">
        <f t="shared" ref="AD99:AD149" si="20">AC99</f>
        <v>17.777426609849396</v>
      </c>
      <c r="AE99" s="178">
        <f t="shared" si="18"/>
        <v>95.950379701653773</v>
      </c>
    </row>
    <row r="100" spans="1:31" s="38" customFormat="1">
      <c r="A100" s="183" t="s">
        <v>348</v>
      </c>
      <c r="B100" s="183" t="s">
        <v>349</v>
      </c>
      <c r="C100" s="181">
        <v>174.4</v>
      </c>
      <c r="D100" s="181">
        <v>178.64</v>
      </c>
      <c r="E100" s="181"/>
      <c r="F100" s="182">
        <v>348.8</v>
      </c>
      <c r="G100" s="182">
        <v>348.8</v>
      </c>
      <c r="H100" s="182">
        <v>348.8</v>
      </c>
      <c r="I100" s="182">
        <v>357.28</v>
      </c>
      <c r="J100" s="182">
        <v>357.28</v>
      </c>
      <c r="K100" s="182">
        <v>357.28</v>
      </c>
      <c r="L100" s="182">
        <v>357.28</v>
      </c>
      <c r="M100" s="182">
        <v>178.64</v>
      </c>
      <c r="N100" s="182">
        <v>0</v>
      </c>
      <c r="O100" s="182">
        <v>0</v>
      </c>
      <c r="P100" s="178">
        <f t="shared" si="14"/>
        <v>2654.1599999999994</v>
      </c>
      <c r="Q100" s="167"/>
      <c r="R100" s="182">
        <f t="shared" si="15"/>
        <v>2</v>
      </c>
      <c r="S100" s="182">
        <f t="shared" si="15"/>
        <v>2</v>
      </c>
      <c r="T100" s="182">
        <f t="shared" si="15"/>
        <v>2</v>
      </c>
      <c r="U100" s="182">
        <f t="shared" si="16"/>
        <v>2</v>
      </c>
      <c r="V100" s="182">
        <f t="shared" si="16"/>
        <v>2</v>
      </c>
      <c r="W100" s="182">
        <f t="shared" si="16"/>
        <v>2</v>
      </c>
      <c r="X100" s="182">
        <f t="shared" si="16"/>
        <v>2</v>
      </c>
      <c r="Y100" s="182">
        <f t="shared" si="16"/>
        <v>1</v>
      </c>
      <c r="Z100" s="182">
        <f t="shared" si="16"/>
        <v>0</v>
      </c>
      <c r="AA100" s="182">
        <f t="shared" si="16"/>
        <v>0</v>
      </c>
      <c r="AB100" s="184">
        <f t="shared" si="19"/>
        <v>15</v>
      </c>
      <c r="AC100" s="182">
        <f t="shared" si="17"/>
        <v>1.25</v>
      </c>
      <c r="AD100" s="185">
        <f t="shared" si="20"/>
        <v>1.25</v>
      </c>
      <c r="AE100" s="178">
        <f t="shared" si="18"/>
        <v>176.94399999999996</v>
      </c>
    </row>
    <row r="101" spans="1:31" s="38" customFormat="1">
      <c r="A101" s="183" t="s">
        <v>350</v>
      </c>
      <c r="B101" s="183" t="s">
        <v>349</v>
      </c>
      <c r="C101" s="181">
        <v>174.4</v>
      </c>
      <c r="D101" s="181">
        <v>178.64</v>
      </c>
      <c r="E101" s="181"/>
      <c r="F101" s="182">
        <v>0</v>
      </c>
      <c r="G101" s="182">
        <v>109</v>
      </c>
      <c r="H101" s="182">
        <v>65.400000000000006</v>
      </c>
      <c r="I101" s="182">
        <v>0</v>
      </c>
      <c r="J101" s="182">
        <v>0</v>
      </c>
      <c r="K101" s="182">
        <v>0</v>
      </c>
      <c r="L101" s="182">
        <v>89.32</v>
      </c>
      <c r="M101" s="182">
        <v>0</v>
      </c>
      <c r="N101" s="182">
        <v>0</v>
      </c>
      <c r="O101" s="182">
        <v>0</v>
      </c>
      <c r="P101" s="178">
        <f t="shared" si="14"/>
        <v>263.72000000000003</v>
      </c>
      <c r="Q101" s="167"/>
      <c r="R101" s="182">
        <f t="shared" si="15"/>
        <v>0</v>
      </c>
      <c r="S101" s="182">
        <f t="shared" si="15"/>
        <v>0.625</v>
      </c>
      <c r="T101" s="182">
        <f t="shared" si="15"/>
        <v>0.375</v>
      </c>
      <c r="U101" s="182">
        <f t="shared" si="16"/>
        <v>0</v>
      </c>
      <c r="V101" s="182">
        <f t="shared" si="16"/>
        <v>0</v>
      </c>
      <c r="W101" s="182">
        <f t="shared" si="16"/>
        <v>0</v>
      </c>
      <c r="X101" s="182">
        <f t="shared" si="16"/>
        <v>0.5</v>
      </c>
      <c r="Y101" s="182">
        <f t="shared" si="16"/>
        <v>0</v>
      </c>
      <c r="Z101" s="182">
        <f t="shared" si="16"/>
        <v>0</v>
      </c>
      <c r="AA101" s="182">
        <f t="shared" si="16"/>
        <v>0</v>
      </c>
      <c r="AB101" s="184">
        <f t="shared" si="19"/>
        <v>1.5</v>
      </c>
      <c r="AC101" s="182">
        <f t="shared" si="17"/>
        <v>0.125</v>
      </c>
      <c r="AD101" s="185">
        <f t="shared" si="20"/>
        <v>0.125</v>
      </c>
      <c r="AE101" s="178">
        <f t="shared" si="18"/>
        <v>175.81333333333336</v>
      </c>
    </row>
    <row r="102" spans="1:31" s="38" customFormat="1">
      <c r="A102" s="183" t="s">
        <v>351</v>
      </c>
      <c r="B102" s="183" t="s">
        <v>352</v>
      </c>
      <c r="C102" s="181">
        <v>54.33</v>
      </c>
      <c r="D102" s="181">
        <v>55.39</v>
      </c>
      <c r="E102" s="181"/>
      <c r="F102" s="182">
        <v>3884.6000000000004</v>
      </c>
      <c r="G102" s="182">
        <v>4101.92</v>
      </c>
      <c r="H102" s="182">
        <v>3993.26</v>
      </c>
      <c r="I102" s="182">
        <v>4071.17</v>
      </c>
      <c r="J102" s="182">
        <v>3988.09</v>
      </c>
      <c r="K102" s="182">
        <v>3988.1</v>
      </c>
      <c r="L102" s="182">
        <v>3988.08</v>
      </c>
      <c r="M102" s="182">
        <v>3988.08</v>
      </c>
      <c r="N102" s="182">
        <v>3655.74</v>
      </c>
      <c r="O102" s="182">
        <v>10994.94</v>
      </c>
      <c r="P102" s="178">
        <f t="shared" si="14"/>
        <v>46653.98</v>
      </c>
      <c r="Q102" s="167"/>
      <c r="R102" s="182">
        <f t="shared" si="15"/>
        <v>71.500092030185911</v>
      </c>
      <c r="S102" s="182">
        <f t="shared" si="15"/>
        <v>75.500092030185911</v>
      </c>
      <c r="T102" s="182">
        <f t="shared" si="15"/>
        <v>73.500092030185911</v>
      </c>
      <c r="U102" s="182">
        <f t="shared" si="16"/>
        <v>73.500090269001632</v>
      </c>
      <c r="V102" s="182">
        <f t="shared" si="16"/>
        <v>72.000180538003249</v>
      </c>
      <c r="W102" s="182">
        <f t="shared" si="16"/>
        <v>72.000361076006499</v>
      </c>
      <c r="X102" s="182">
        <f t="shared" si="16"/>
        <v>72</v>
      </c>
      <c r="Y102" s="182">
        <f t="shared" si="16"/>
        <v>72</v>
      </c>
      <c r="Z102" s="182">
        <f t="shared" si="16"/>
        <v>66</v>
      </c>
      <c r="AA102" s="182">
        <f t="shared" si="16"/>
        <v>198.50045134500814</v>
      </c>
      <c r="AB102" s="184">
        <f t="shared" si="19"/>
        <v>846.50135931857733</v>
      </c>
      <c r="AC102" s="182">
        <f t="shared" si="17"/>
        <v>70.541779943214777</v>
      </c>
      <c r="AD102" s="185">
        <f t="shared" si="20"/>
        <v>70.541779943214777</v>
      </c>
      <c r="AE102" s="178">
        <f t="shared" si="18"/>
        <v>55.113886689509698</v>
      </c>
    </row>
    <row r="103" spans="1:31" s="38" customFormat="1">
      <c r="A103" s="183" t="s">
        <v>353</v>
      </c>
      <c r="B103" s="183" t="s">
        <v>352</v>
      </c>
      <c r="C103" s="181">
        <v>54.33</v>
      </c>
      <c r="D103" s="181">
        <v>55.39</v>
      </c>
      <c r="E103" s="181"/>
      <c r="F103" s="182">
        <v>1222.01</v>
      </c>
      <c r="G103" s="182">
        <v>1140.51</v>
      </c>
      <c r="H103" s="182">
        <v>1385</v>
      </c>
      <c r="I103" s="182">
        <v>1467.84</v>
      </c>
      <c r="J103" s="182">
        <v>1495.54</v>
      </c>
      <c r="K103" s="182">
        <v>1301.67</v>
      </c>
      <c r="L103" s="182">
        <v>1467.8400000000001</v>
      </c>
      <c r="M103" s="182">
        <v>1730.95</v>
      </c>
      <c r="N103" s="182">
        <v>1772.48</v>
      </c>
      <c r="O103" s="182">
        <v>5714.42</v>
      </c>
      <c r="P103" s="178">
        <f t="shared" si="14"/>
        <v>18698.260000000002</v>
      </c>
      <c r="Q103" s="167"/>
      <c r="R103" s="182">
        <f t="shared" si="15"/>
        <v>22.492361494570218</v>
      </c>
      <c r="S103" s="182">
        <f t="shared" si="15"/>
        <v>20.992269464384318</v>
      </c>
      <c r="T103" s="182">
        <f t="shared" si="15"/>
        <v>25.492361494570218</v>
      </c>
      <c r="U103" s="182">
        <f t="shared" si="16"/>
        <v>26.500090269001625</v>
      </c>
      <c r="V103" s="182">
        <f t="shared" si="16"/>
        <v>27.000180538003249</v>
      </c>
      <c r="W103" s="182">
        <f t="shared" si="16"/>
        <v>23.500090269001625</v>
      </c>
      <c r="X103" s="182">
        <f t="shared" si="16"/>
        <v>26.500090269001628</v>
      </c>
      <c r="Y103" s="182">
        <f t="shared" si="16"/>
        <v>31.250225672504062</v>
      </c>
      <c r="Z103" s="182">
        <f t="shared" si="16"/>
        <v>32</v>
      </c>
      <c r="AA103" s="182">
        <f t="shared" si="16"/>
        <v>103.16699765300596</v>
      </c>
      <c r="AB103" s="184">
        <f t="shared" si="19"/>
        <v>338.89466712404288</v>
      </c>
      <c r="AC103" s="182">
        <f t="shared" si="17"/>
        <v>28.241222260336908</v>
      </c>
      <c r="AD103" s="185">
        <f t="shared" si="20"/>
        <v>28.241222260336908</v>
      </c>
      <c r="AE103" s="178">
        <f t="shared" si="18"/>
        <v>55.17425269237426</v>
      </c>
    </row>
    <row r="104" spans="1:31" s="38" customFormat="1">
      <c r="A104" s="183" t="s">
        <v>354</v>
      </c>
      <c r="B104" s="183" t="s">
        <v>355</v>
      </c>
      <c r="C104" s="181">
        <v>23.02</v>
      </c>
      <c r="D104" s="181">
        <v>23.02</v>
      </c>
      <c r="E104" s="181"/>
      <c r="F104" s="182">
        <v>23.02</v>
      </c>
      <c r="G104" s="182">
        <v>23.02</v>
      </c>
      <c r="H104" s="182">
        <v>23.02</v>
      </c>
      <c r="I104" s="182">
        <v>23.02</v>
      </c>
      <c r="J104" s="182">
        <v>23.02</v>
      </c>
      <c r="K104" s="182">
        <v>23.02</v>
      </c>
      <c r="L104" s="182">
        <v>23.02</v>
      </c>
      <c r="M104" s="182">
        <v>23.02</v>
      </c>
      <c r="N104" s="182">
        <v>23.02</v>
      </c>
      <c r="O104" s="182">
        <v>69.06</v>
      </c>
      <c r="P104" s="178">
        <f t="shared" si="14"/>
        <v>276.24</v>
      </c>
      <c r="Q104" s="167"/>
      <c r="R104" s="182">
        <f t="shared" si="15"/>
        <v>1</v>
      </c>
      <c r="S104" s="182">
        <f t="shared" si="15"/>
        <v>1</v>
      </c>
      <c r="T104" s="182">
        <f t="shared" si="15"/>
        <v>1</v>
      </c>
      <c r="U104" s="182">
        <f t="shared" si="16"/>
        <v>1</v>
      </c>
      <c r="V104" s="182">
        <f t="shared" si="16"/>
        <v>1</v>
      </c>
      <c r="W104" s="182">
        <f t="shared" si="16"/>
        <v>1</v>
      </c>
      <c r="X104" s="182">
        <f t="shared" si="16"/>
        <v>1</v>
      </c>
      <c r="Y104" s="182">
        <f t="shared" si="16"/>
        <v>1</v>
      </c>
      <c r="Z104" s="182">
        <f t="shared" si="16"/>
        <v>1</v>
      </c>
      <c r="AA104" s="182">
        <f t="shared" si="16"/>
        <v>3</v>
      </c>
      <c r="AB104" s="184">
        <f t="shared" si="19"/>
        <v>12</v>
      </c>
      <c r="AC104" s="182">
        <f t="shared" si="17"/>
        <v>1</v>
      </c>
      <c r="AD104" s="185">
        <f t="shared" si="20"/>
        <v>1</v>
      </c>
      <c r="AE104" s="178">
        <f t="shared" si="18"/>
        <v>23.02</v>
      </c>
    </row>
    <row r="105" spans="1:31" s="38" customFormat="1">
      <c r="A105" s="183" t="s">
        <v>356</v>
      </c>
      <c r="B105" s="183" t="s">
        <v>357</v>
      </c>
      <c r="C105" s="181">
        <v>130.62</v>
      </c>
      <c r="D105" s="181">
        <v>133.65</v>
      </c>
      <c r="E105" s="181"/>
      <c r="F105" s="182">
        <v>5747.28</v>
      </c>
      <c r="G105" s="182">
        <v>5551.36</v>
      </c>
      <c r="H105" s="182">
        <v>5486.04</v>
      </c>
      <c r="I105" s="182">
        <v>5613.3</v>
      </c>
      <c r="J105" s="182">
        <v>5513.0599999999995</v>
      </c>
      <c r="K105" s="182">
        <v>5546.48</v>
      </c>
      <c r="L105" s="182">
        <v>5847.1900000000005</v>
      </c>
      <c r="M105" s="182">
        <v>5847.1900000000005</v>
      </c>
      <c r="N105" s="182">
        <v>5746.96</v>
      </c>
      <c r="O105" s="182">
        <v>17969.259999999998</v>
      </c>
      <c r="P105" s="178">
        <f t="shared" si="14"/>
        <v>68868.12000000001</v>
      </c>
      <c r="Q105" s="167"/>
      <c r="R105" s="182">
        <f t="shared" si="15"/>
        <v>44</v>
      </c>
      <c r="S105" s="182">
        <f t="shared" si="15"/>
        <v>42.500076557954365</v>
      </c>
      <c r="T105" s="182">
        <f t="shared" si="15"/>
        <v>42</v>
      </c>
      <c r="U105" s="182">
        <f t="shared" si="16"/>
        <v>42</v>
      </c>
      <c r="V105" s="182">
        <f t="shared" si="16"/>
        <v>41.24998129442573</v>
      </c>
      <c r="W105" s="182">
        <f t="shared" si="16"/>
        <v>41.500037411148519</v>
      </c>
      <c r="X105" s="182">
        <f t="shared" si="16"/>
        <v>43.750018705574263</v>
      </c>
      <c r="Y105" s="182">
        <f t="shared" si="16"/>
        <v>43.750018705574263</v>
      </c>
      <c r="Z105" s="182">
        <f t="shared" si="16"/>
        <v>43.000074822297044</v>
      </c>
      <c r="AA105" s="182">
        <f t="shared" si="16"/>
        <v>134.4501309390198</v>
      </c>
      <c r="AB105" s="184">
        <f t="shared" si="19"/>
        <v>518.20033843599401</v>
      </c>
      <c r="AC105" s="182">
        <f t="shared" si="17"/>
        <v>43.183361536332832</v>
      </c>
      <c r="AD105" s="185">
        <f t="shared" si="20"/>
        <v>43.183361536332832</v>
      </c>
      <c r="AE105" s="178">
        <f t="shared" si="18"/>
        <v>132.89863956448636</v>
      </c>
    </row>
    <row r="106" spans="1:31" s="38" customFormat="1">
      <c r="A106" s="183" t="s">
        <v>358</v>
      </c>
      <c r="B106" s="183" t="s">
        <v>357</v>
      </c>
      <c r="C106" s="181">
        <v>130.62</v>
      </c>
      <c r="D106" s="181">
        <v>133.65</v>
      </c>
      <c r="E106" s="181"/>
      <c r="F106" s="182">
        <v>783.72</v>
      </c>
      <c r="G106" s="182">
        <v>751.07</v>
      </c>
      <c r="H106" s="182">
        <v>653.1</v>
      </c>
      <c r="I106" s="182">
        <v>769.24</v>
      </c>
      <c r="J106" s="182">
        <v>902.14</v>
      </c>
      <c r="K106" s="182">
        <v>935.55</v>
      </c>
      <c r="L106" s="182">
        <v>935.55</v>
      </c>
      <c r="M106" s="182">
        <v>1236.24</v>
      </c>
      <c r="N106" s="182">
        <v>1637.22</v>
      </c>
      <c r="O106" s="182">
        <v>5746.9500000000007</v>
      </c>
      <c r="P106" s="178">
        <f t="shared" si="14"/>
        <v>14350.78</v>
      </c>
      <c r="Q106" s="167"/>
      <c r="R106" s="182">
        <f t="shared" si="15"/>
        <v>6</v>
      </c>
      <c r="S106" s="182">
        <f t="shared" si="15"/>
        <v>5.7500382789771862</v>
      </c>
      <c r="T106" s="182">
        <f t="shared" si="15"/>
        <v>5</v>
      </c>
      <c r="U106" s="182">
        <f t="shared" si="16"/>
        <v>5.7556303778525999</v>
      </c>
      <c r="V106" s="182">
        <f t="shared" si="16"/>
        <v>6.7500187055742611</v>
      </c>
      <c r="W106" s="182">
        <f t="shared" si="16"/>
        <v>6.9999999999999991</v>
      </c>
      <c r="X106" s="182">
        <f t="shared" si="16"/>
        <v>6.9999999999999991</v>
      </c>
      <c r="Y106" s="182">
        <f t="shared" si="16"/>
        <v>9.2498316498316502</v>
      </c>
      <c r="Z106" s="182">
        <f t="shared" si="16"/>
        <v>12.250056116722783</v>
      </c>
      <c r="AA106" s="182">
        <f t="shared" si="16"/>
        <v>43.000000000000007</v>
      </c>
      <c r="AB106" s="184">
        <f t="shared" si="19"/>
        <v>107.7555751289585</v>
      </c>
      <c r="AC106" s="182">
        <f t="shared" si="17"/>
        <v>8.9796312607465421</v>
      </c>
      <c r="AD106" s="185">
        <f t="shared" si="20"/>
        <v>8.9796312607465421</v>
      </c>
      <c r="AE106" s="178">
        <f t="shared" si="18"/>
        <v>133.17900241194423</v>
      </c>
    </row>
    <row r="107" spans="1:31" s="38" customFormat="1">
      <c r="A107" s="183" t="s">
        <v>359</v>
      </c>
      <c r="B107" s="183" t="s">
        <v>360</v>
      </c>
      <c r="C107" s="181">
        <v>240.52</v>
      </c>
      <c r="D107" s="181">
        <v>246.58</v>
      </c>
      <c r="E107" s="181"/>
      <c r="F107" s="182">
        <v>240.52</v>
      </c>
      <c r="G107" s="182">
        <v>240.52</v>
      </c>
      <c r="H107" s="182">
        <v>240.52</v>
      </c>
      <c r="I107" s="182">
        <v>246.58</v>
      </c>
      <c r="J107" s="182">
        <v>246.58</v>
      </c>
      <c r="K107" s="182">
        <v>184.93</v>
      </c>
      <c r="L107" s="182">
        <v>246.58</v>
      </c>
      <c r="M107" s="182">
        <v>246.58</v>
      </c>
      <c r="N107" s="182">
        <v>246.58</v>
      </c>
      <c r="O107" s="182">
        <v>739.74</v>
      </c>
      <c r="P107" s="178">
        <f t="shared" si="14"/>
        <v>2879.13</v>
      </c>
      <c r="Q107" s="167"/>
      <c r="R107" s="182">
        <f t="shared" si="15"/>
        <v>1</v>
      </c>
      <c r="S107" s="182">
        <f t="shared" si="15"/>
        <v>1</v>
      </c>
      <c r="T107" s="182">
        <f t="shared" si="15"/>
        <v>1</v>
      </c>
      <c r="U107" s="182">
        <f t="shared" si="16"/>
        <v>1</v>
      </c>
      <c r="V107" s="182">
        <f t="shared" si="16"/>
        <v>1</v>
      </c>
      <c r="W107" s="182">
        <f t="shared" si="16"/>
        <v>0.74997972260523971</v>
      </c>
      <c r="X107" s="182">
        <f t="shared" si="16"/>
        <v>1</v>
      </c>
      <c r="Y107" s="182">
        <f t="shared" si="16"/>
        <v>1</v>
      </c>
      <c r="Z107" s="182">
        <f t="shared" si="16"/>
        <v>1</v>
      </c>
      <c r="AA107" s="182">
        <f t="shared" si="16"/>
        <v>3</v>
      </c>
      <c r="AB107" s="184">
        <f t="shared" si="19"/>
        <v>11.749979722605239</v>
      </c>
      <c r="AC107" s="182">
        <f t="shared" si="17"/>
        <v>0.97916497688376991</v>
      </c>
      <c r="AD107" s="185">
        <f t="shared" si="20"/>
        <v>0.97916497688376991</v>
      </c>
      <c r="AE107" s="178">
        <f t="shared" si="18"/>
        <v>245.03276328732517</v>
      </c>
    </row>
    <row r="108" spans="1:31" s="38" customFormat="1">
      <c r="A108" s="183" t="s">
        <v>361</v>
      </c>
      <c r="B108" s="183" t="s">
        <v>360</v>
      </c>
      <c r="C108" s="181">
        <v>240.52</v>
      </c>
      <c r="D108" s="181">
        <v>246.58</v>
      </c>
      <c r="E108" s="181"/>
      <c r="F108" s="182">
        <v>0</v>
      </c>
      <c r="G108" s="182">
        <v>0</v>
      </c>
      <c r="H108" s="182">
        <v>0</v>
      </c>
      <c r="I108" s="182">
        <v>0</v>
      </c>
      <c r="J108" s="182">
        <v>0</v>
      </c>
      <c r="K108" s="182">
        <v>0</v>
      </c>
      <c r="L108" s="182">
        <v>123.29</v>
      </c>
      <c r="M108" s="182">
        <v>246.58</v>
      </c>
      <c r="N108" s="182">
        <v>246.58</v>
      </c>
      <c r="O108" s="182">
        <v>448.65</v>
      </c>
      <c r="P108" s="178">
        <f t="shared" si="14"/>
        <v>1065.0999999999999</v>
      </c>
      <c r="Q108" s="167"/>
      <c r="R108" s="182">
        <f t="shared" si="15"/>
        <v>0</v>
      </c>
      <c r="S108" s="182">
        <f t="shared" si="15"/>
        <v>0</v>
      </c>
      <c r="T108" s="182">
        <f t="shared" si="15"/>
        <v>0</v>
      </c>
      <c r="U108" s="182">
        <f t="shared" si="16"/>
        <v>0</v>
      </c>
      <c r="V108" s="182">
        <f t="shared" si="16"/>
        <v>0</v>
      </c>
      <c r="W108" s="182">
        <f t="shared" si="16"/>
        <v>0</v>
      </c>
      <c r="X108" s="182">
        <f t="shared" si="16"/>
        <v>0.5</v>
      </c>
      <c r="Y108" s="182">
        <f t="shared" si="16"/>
        <v>1</v>
      </c>
      <c r="Z108" s="182">
        <f t="shared" si="16"/>
        <v>1</v>
      </c>
      <c r="AA108" s="182">
        <f t="shared" si="16"/>
        <v>1.8194906318436206</v>
      </c>
      <c r="AB108" s="184">
        <f t="shared" si="19"/>
        <v>4.319490631843621</v>
      </c>
      <c r="AC108" s="182">
        <f t="shared" si="17"/>
        <v>0.3599575526536351</v>
      </c>
      <c r="AD108" s="185">
        <f t="shared" si="20"/>
        <v>0.3599575526536351</v>
      </c>
      <c r="AE108" s="178">
        <f t="shared" si="18"/>
        <v>246.57999999999996</v>
      </c>
    </row>
    <row r="109" spans="1:31" s="38" customFormat="1">
      <c r="A109" s="183" t="s">
        <v>362</v>
      </c>
      <c r="B109" s="183" t="s">
        <v>363</v>
      </c>
      <c r="C109" s="181">
        <v>75.790000000000006</v>
      </c>
      <c r="D109" s="181">
        <v>77.31</v>
      </c>
      <c r="E109" s="181"/>
      <c r="F109" s="182">
        <v>2273.71</v>
      </c>
      <c r="G109" s="182">
        <v>2197.92</v>
      </c>
      <c r="H109" s="182">
        <v>2235.81</v>
      </c>
      <c r="I109" s="182">
        <v>2164.6799999999998</v>
      </c>
      <c r="J109" s="182">
        <v>2164.6799999999998</v>
      </c>
      <c r="K109" s="182">
        <v>2048.71</v>
      </c>
      <c r="L109" s="182">
        <v>1932.75</v>
      </c>
      <c r="M109" s="182">
        <v>2010.06</v>
      </c>
      <c r="N109" s="182">
        <v>2010.06</v>
      </c>
      <c r="O109" s="182">
        <v>5604.98</v>
      </c>
      <c r="P109" s="178">
        <f t="shared" si="14"/>
        <v>24643.360000000004</v>
      </c>
      <c r="Q109" s="167"/>
      <c r="R109" s="182">
        <f t="shared" si="15"/>
        <v>30.000131943528167</v>
      </c>
      <c r="S109" s="182">
        <f t="shared" si="15"/>
        <v>29.000131943528167</v>
      </c>
      <c r="T109" s="182">
        <f t="shared" si="15"/>
        <v>29.50006597176408</v>
      </c>
      <c r="U109" s="182">
        <f t="shared" si="16"/>
        <v>27.999999999999996</v>
      </c>
      <c r="V109" s="182">
        <f t="shared" si="16"/>
        <v>27.999999999999996</v>
      </c>
      <c r="W109" s="182">
        <f t="shared" si="16"/>
        <v>26.499935325313672</v>
      </c>
      <c r="X109" s="182">
        <f t="shared" si="16"/>
        <v>25</v>
      </c>
      <c r="Y109" s="182">
        <f t="shared" si="16"/>
        <v>26</v>
      </c>
      <c r="Z109" s="182">
        <f t="shared" si="16"/>
        <v>26</v>
      </c>
      <c r="AA109" s="182">
        <f t="shared" si="16"/>
        <v>72.500064674686314</v>
      </c>
      <c r="AB109" s="184">
        <f t="shared" si="19"/>
        <v>320.50032985882041</v>
      </c>
      <c r="AC109" s="182">
        <f t="shared" si="17"/>
        <v>26.708360821568366</v>
      </c>
      <c r="AD109" s="185">
        <f t="shared" si="20"/>
        <v>26.708360821568366</v>
      </c>
      <c r="AE109" s="178">
        <f t="shared" si="18"/>
        <v>76.890279678823859</v>
      </c>
    </row>
    <row r="110" spans="1:31" s="38" customFormat="1">
      <c r="A110" s="183" t="s">
        <v>364</v>
      </c>
      <c r="B110" s="183" t="s">
        <v>363</v>
      </c>
      <c r="C110" s="181">
        <v>75.790000000000006</v>
      </c>
      <c r="D110" s="181">
        <v>77.31</v>
      </c>
      <c r="E110" s="181"/>
      <c r="F110" s="182">
        <v>606.31999999999994</v>
      </c>
      <c r="G110" s="182">
        <v>644.22</v>
      </c>
      <c r="H110" s="182">
        <v>682.11</v>
      </c>
      <c r="I110" s="182">
        <v>695.79</v>
      </c>
      <c r="J110" s="182">
        <v>695.79</v>
      </c>
      <c r="K110" s="182">
        <v>695.79</v>
      </c>
      <c r="L110" s="182">
        <v>695.79</v>
      </c>
      <c r="M110" s="182">
        <v>657.14</v>
      </c>
      <c r="N110" s="182">
        <v>811.76</v>
      </c>
      <c r="O110" s="182">
        <v>2473.92</v>
      </c>
      <c r="P110" s="178">
        <f t="shared" si="14"/>
        <v>8658.630000000001</v>
      </c>
      <c r="Q110" s="167"/>
      <c r="R110" s="182">
        <f t="shared" si="15"/>
        <v>7.9999999999999982</v>
      </c>
      <c r="S110" s="182">
        <f t="shared" si="15"/>
        <v>8.5000659717640854</v>
      </c>
      <c r="T110" s="182">
        <f t="shared" si="15"/>
        <v>9</v>
      </c>
      <c r="U110" s="182">
        <f t="shared" si="16"/>
        <v>9</v>
      </c>
      <c r="V110" s="182">
        <f t="shared" si="16"/>
        <v>9</v>
      </c>
      <c r="W110" s="182">
        <f t="shared" si="16"/>
        <v>9</v>
      </c>
      <c r="X110" s="182">
        <f t="shared" si="16"/>
        <v>9</v>
      </c>
      <c r="Y110" s="182">
        <f t="shared" si="16"/>
        <v>8.5000646746863282</v>
      </c>
      <c r="Z110" s="182">
        <f t="shared" si="16"/>
        <v>10.500064674686328</v>
      </c>
      <c r="AA110" s="182">
        <f t="shared" si="16"/>
        <v>32</v>
      </c>
      <c r="AB110" s="184">
        <f t="shared" si="19"/>
        <v>112.50019532113674</v>
      </c>
      <c r="AC110" s="182">
        <f t="shared" si="17"/>
        <v>9.3750162767613947</v>
      </c>
      <c r="AD110" s="185">
        <f t="shared" si="20"/>
        <v>9.3750162767613947</v>
      </c>
      <c r="AE110" s="178">
        <f t="shared" si="18"/>
        <v>76.965466373489946</v>
      </c>
    </row>
    <row r="111" spans="1:31" s="38" customFormat="1">
      <c r="A111" s="183" t="s">
        <v>365</v>
      </c>
      <c r="B111" s="183" t="s">
        <v>366</v>
      </c>
      <c r="C111" s="181">
        <v>169.26</v>
      </c>
      <c r="D111" s="181">
        <v>173.2</v>
      </c>
      <c r="E111" s="181"/>
      <c r="F111" s="182">
        <v>6558.83</v>
      </c>
      <c r="G111" s="182">
        <v>6389.57</v>
      </c>
      <c r="H111" s="182">
        <v>6431.8799999999992</v>
      </c>
      <c r="I111" s="182">
        <v>6451.7</v>
      </c>
      <c r="J111" s="182">
        <v>6408.4</v>
      </c>
      <c r="K111" s="182">
        <v>6235.2</v>
      </c>
      <c r="L111" s="182">
        <v>5932.1</v>
      </c>
      <c r="M111" s="182">
        <v>5975.4000000000005</v>
      </c>
      <c r="N111" s="182">
        <v>5758.9</v>
      </c>
      <c r="O111" s="182">
        <v>18056.099999999999</v>
      </c>
      <c r="P111" s="178">
        <f t="shared" si="14"/>
        <v>74198.079999999987</v>
      </c>
      <c r="Q111" s="167"/>
      <c r="R111" s="182">
        <f t="shared" si="15"/>
        <v>38.750029540352124</v>
      </c>
      <c r="S111" s="182">
        <f t="shared" si="15"/>
        <v>37.750029540352124</v>
      </c>
      <c r="T111" s="182">
        <f t="shared" si="15"/>
        <v>38</v>
      </c>
      <c r="U111" s="182">
        <f t="shared" si="16"/>
        <v>37.25</v>
      </c>
      <c r="V111" s="182">
        <f t="shared" si="16"/>
        <v>37</v>
      </c>
      <c r="W111" s="182">
        <f t="shared" si="16"/>
        <v>36</v>
      </c>
      <c r="X111" s="182">
        <f t="shared" si="16"/>
        <v>34.250000000000007</v>
      </c>
      <c r="Y111" s="182">
        <f t="shared" si="16"/>
        <v>34.500000000000007</v>
      </c>
      <c r="Z111" s="182">
        <f t="shared" si="16"/>
        <v>33.25</v>
      </c>
      <c r="AA111" s="182">
        <f t="shared" si="16"/>
        <v>104.25</v>
      </c>
      <c r="AB111" s="184">
        <f t="shared" si="19"/>
        <v>431.00005908070426</v>
      </c>
      <c r="AC111" s="182">
        <f t="shared" si="17"/>
        <v>35.916671590058691</v>
      </c>
      <c r="AD111" s="185">
        <f t="shared" si="20"/>
        <v>35.916671590058691</v>
      </c>
      <c r="AE111" s="178">
        <f t="shared" si="18"/>
        <v>172.15329426696547</v>
      </c>
    </row>
    <row r="112" spans="1:31" s="38" customFormat="1">
      <c r="A112" s="183" t="s">
        <v>367</v>
      </c>
      <c r="B112" s="183" t="s">
        <v>366</v>
      </c>
      <c r="C112" s="181">
        <v>169.26</v>
      </c>
      <c r="D112" s="181">
        <v>173.2</v>
      </c>
      <c r="E112" s="181"/>
      <c r="F112" s="182">
        <v>1481.05</v>
      </c>
      <c r="G112" s="182">
        <v>1184.82</v>
      </c>
      <c r="H112" s="182">
        <v>1015.56</v>
      </c>
      <c r="I112" s="182">
        <v>1212.4000000000001</v>
      </c>
      <c r="J112" s="182">
        <v>1125.8</v>
      </c>
      <c r="K112" s="182">
        <v>1212.4000000000001</v>
      </c>
      <c r="L112" s="182">
        <v>1022.7499999999999</v>
      </c>
      <c r="M112" s="182">
        <v>1645.4</v>
      </c>
      <c r="N112" s="182">
        <v>1342.3000000000002</v>
      </c>
      <c r="O112" s="182">
        <v>6476.05</v>
      </c>
      <c r="P112" s="178">
        <f t="shared" si="14"/>
        <v>17718.53</v>
      </c>
      <c r="Q112" s="167"/>
      <c r="R112" s="182">
        <f t="shared" si="15"/>
        <v>8.7501477017606053</v>
      </c>
      <c r="S112" s="182">
        <f t="shared" si="15"/>
        <v>7</v>
      </c>
      <c r="T112" s="182">
        <f t="shared" si="15"/>
        <v>6</v>
      </c>
      <c r="U112" s="182">
        <f t="shared" si="16"/>
        <v>7.0000000000000009</v>
      </c>
      <c r="V112" s="182">
        <f t="shared" si="16"/>
        <v>6.5</v>
      </c>
      <c r="W112" s="182">
        <f t="shared" si="16"/>
        <v>7.0000000000000009</v>
      </c>
      <c r="X112" s="182">
        <f t="shared" si="16"/>
        <v>5.9050230946882216</v>
      </c>
      <c r="Y112" s="182">
        <f t="shared" si="16"/>
        <v>9.5000000000000018</v>
      </c>
      <c r="Z112" s="182">
        <f t="shared" si="16"/>
        <v>7.7500000000000018</v>
      </c>
      <c r="AA112" s="182">
        <f t="shared" si="16"/>
        <v>37.39058891454966</v>
      </c>
      <c r="AB112" s="184">
        <f t="shared" si="19"/>
        <v>102.79575971099848</v>
      </c>
      <c r="AC112" s="182">
        <f t="shared" si="17"/>
        <v>8.5663133092498729</v>
      </c>
      <c r="AD112" s="185">
        <f t="shared" si="20"/>
        <v>8.5663133092498729</v>
      </c>
      <c r="AE112" s="178">
        <f t="shared" si="18"/>
        <v>172.36635100333064</v>
      </c>
    </row>
    <row r="113" spans="1:31" s="38" customFormat="1">
      <c r="A113" s="183" t="s">
        <v>368</v>
      </c>
      <c r="B113" s="183" t="s">
        <v>369</v>
      </c>
      <c r="C113" s="181">
        <v>316.44</v>
      </c>
      <c r="D113" s="181">
        <v>324.32</v>
      </c>
      <c r="E113" s="181"/>
      <c r="F113" s="182">
        <v>949.32</v>
      </c>
      <c r="G113" s="182">
        <v>949.32</v>
      </c>
      <c r="H113" s="182">
        <v>949.32</v>
      </c>
      <c r="I113" s="182">
        <v>972.96</v>
      </c>
      <c r="J113" s="182">
        <v>972.96</v>
      </c>
      <c r="K113" s="182">
        <v>972.96</v>
      </c>
      <c r="L113" s="182">
        <v>972.96</v>
      </c>
      <c r="M113" s="182">
        <v>810.8</v>
      </c>
      <c r="N113" s="182">
        <v>891.88</v>
      </c>
      <c r="O113" s="182">
        <v>2918.88</v>
      </c>
      <c r="P113" s="178">
        <f t="shared" si="14"/>
        <v>11361.36</v>
      </c>
      <c r="Q113" s="167"/>
      <c r="R113" s="182">
        <f t="shared" si="15"/>
        <v>3</v>
      </c>
      <c r="S113" s="182">
        <f t="shared" si="15"/>
        <v>3</v>
      </c>
      <c r="T113" s="182">
        <f t="shared" si="15"/>
        <v>3</v>
      </c>
      <c r="U113" s="182">
        <f t="shared" si="16"/>
        <v>3</v>
      </c>
      <c r="V113" s="182">
        <f t="shared" si="16"/>
        <v>3</v>
      </c>
      <c r="W113" s="182">
        <f t="shared" si="16"/>
        <v>3</v>
      </c>
      <c r="X113" s="182">
        <f t="shared" si="16"/>
        <v>3</v>
      </c>
      <c r="Y113" s="182">
        <f t="shared" si="16"/>
        <v>2.5</v>
      </c>
      <c r="Z113" s="182">
        <f t="shared" si="16"/>
        <v>2.75</v>
      </c>
      <c r="AA113" s="182">
        <f t="shared" si="16"/>
        <v>9</v>
      </c>
      <c r="AB113" s="184">
        <f t="shared" si="19"/>
        <v>35.25</v>
      </c>
      <c r="AC113" s="182">
        <f t="shared" si="17"/>
        <v>2.9375</v>
      </c>
      <c r="AD113" s="185">
        <f t="shared" si="20"/>
        <v>2.9375</v>
      </c>
      <c r="AE113" s="178">
        <f t="shared" si="18"/>
        <v>322.30808510638298</v>
      </c>
    </row>
    <row r="114" spans="1:31" s="38" customFormat="1">
      <c r="A114" s="183" t="s">
        <v>370</v>
      </c>
      <c r="B114" s="183" t="s">
        <v>369</v>
      </c>
      <c r="C114" s="181">
        <v>316.44</v>
      </c>
      <c r="D114" s="181">
        <v>324.32</v>
      </c>
      <c r="E114" s="181"/>
      <c r="F114" s="182">
        <v>711.99</v>
      </c>
      <c r="G114" s="182">
        <v>158.22</v>
      </c>
      <c r="H114" s="182">
        <v>0</v>
      </c>
      <c r="I114" s="182">
        <v>0</v>
      </c>
      <c r="J114" s="182">
        <v>0</v>
      </c>
      <c r="K114" s="182">
        <v>0</v>
      </c>
      <c r="L114" s="182">
        <v>0</v>
      </c>
      <c r="M114" s="182">
        <v>0</v>
      </c>
      <c r="N114" s="182">
        <v>162.16</v>
      </c>
      <c r="O114" s="182">
        <v>1927.9</v>
      </c>
      <c r="P114" s="178">
        <f t="shared" si="14"/>
        <v>2960.2700000000004</v>
      </c>
      <c r="Q114" s="167"/>
      <c r="R114" s="182">
        <f t="shared" si="15"/>
        <v>2.25</v>
      </c>
      <c r="S114" s="182">
        <f t="shared" si="15"/>
        <v>0.5</v>
      </c>
      <c r="T114" s="182">
        <f t="shared" si="15"/>
        <v>0</v>
      </c>
      <c r="U114" s="182">
        <f t="shared" ref="U114:AA140" si="21">IFERROR(I114/$D114,0)</f>
        <v>0</v>
      </c>
      <c r="V114" s="182">
        <f t="shared" si="21"/>
        <v>0</v>
      </c>
      <c r="W114" s="182">
        <f t="shared" si="21"/>
        <v>0</v>
      </c>
      <c r="X114" s="182">
        <f t="shared" si="21"/>
        <v>0</v>
      </c>
      <c r="Y114" s="182">
        <f t="shared" si="21"/>
        <v>0</v>
      </c>
      <c r="Z114" s="182">
        <f t="shared" si="21"/>
        <v>0.5</v>
      </c>
      <c r="AA114" s="182">
        <f t="shared" si="21"/>
        <v>5.9444375925012336</v>
      </c>
      <c r="AB114" s="184">
        <f t="shared" si="19"/>
        <v>9.1944375925012345</v>
      </c>
      <c r="AC114" s="182">
        <f t="shared" si="17"/>
        <v>0.76620313270843621</v>
      </c>
      <c r="AD114" s="185">
        <f t="shared" si="20"/>
        <v>0.76620313270843621</v>
      </c>
      <c r="AE114" s="178">
        <f t="shared" si="18"/>
        <v>321.96314023756349</v>
      </c>
    </row>
    <row r="115" spans="1:31" s="38" customFormat="1">
      <c r="A115" s="183" t="s">
        <v>371</v>
      </c>
      <c r="B115" s="183" t="s">
        <v>372</v>
      </c>
      <c r="C115" s="181">
        <v>95.84</v>
      </c>
      <c r="D115" s="181">
        <v>97.81</v>
      </c>
      <c r="E115" s="181"/>
      <c r="F115" s="182">
        <v>1245.92</v>
      </c>
      <c r="G115" s="182">
        <v>1341.76</v>
      </c>
      <c r="H115" s="182">
        <v>1341.76</v>
      </c>
      <c r="I115" s="182">
        <v>1369.34</v>
      </c>
      <c r="J115" s="182">
        <v>1222.6300000000001</v>
      </c>
      <c r="K115" s="182">
        <v>1271.53</v>
      </c>
      <c r="L115" s="182">
        <v>1418.25</v>
      </c>
      <c r="M115" s="182">
        <v>1295.98</v>
      </c>
      <c r="N115" s="182">
        <v>1271.53</v>
      </c>
      <c r="O115" s="182">
        <v>3227.7300000000005</v>
      </c>
      <c r="P115" s="178">
        <f t="shared" si="14"/>
        <v>15006.43</v>
      </c>
      <c r="Q115" s="167"/>
      <c r="R115" s="182">
        <f t="shared" si="15"/>
        <v>13</v>
      </c>
      <c r="S115" s="182">
        <f t="shared" si="15"/>
        <v>14</v>
      </c>
      <c r="T115" s="182">
        <f t="shared" si="15"/>
        <v>14</v>
      </c>
      <c r="U115" s="182">
        <f t="shared" si="21"/>
        <v>13.999999999999998</v>
      </c>
      <c r="V115" s="182">
        <f t="shared" si="21"/>
        <v>12.500051119517433</v>
      </c>
      <c r="W115" s="182">
        <f t="shared" si="21"/>
        <v>13</v>
      </c>
      <c r="X115" s="182">
        <f t="shared" si="21"/>
        <v>14.500051119517432</v>
      </c>
      <c r="Y115" s="182">
        <f t="shared" si="21"/>
        <v>13.249974440241283</v>
      </c>
      <c r="Z115" s="182">
        <f t="shared" si="21"/>
        <v>13</v>
      </c>
      <c r="AA115" s="182">
        <f t="shared" si="21"/>
        <v>33.000000000000007</v>
      </c>
      <c r="AB115" s="184">
        <f t="shared" si="19"/>
        <v>154.25007667927616</v>
      </c>
      <c r="AC115" s="182">
        <f t="shared" si="17"/>
        <v>12.854173056606347</v>
      </c>
      <c r="AD115" s="185">
        <f t="shared" si="20"/>
        <v>12.854173056606347</v>
      </c>
      <c r="AE115" s="178">
        <f t="shared" si="18"/>
        <v>97.286369790285804</v>
      </c>
    </row>
    <row r="116" spans="1:31" s="38" customFormat="1">
      <c r="A116" s="183" t="s">
        <v>373</v>
      </c>
      <c r="B116" s="183" t="s">
        <v>372</v>
      </c>
      <c r="C116" s="181">
        <v>95.84</v>
      </c>
      <c r="D116" s="181">
        <v>97.81</v>
      </c>
      <c r="E116" s="181"/>
      <c r="F116" s="182">
        <v>479.2</v>
      </c>
      <c r="G116" s="182">
        <v>479.2</v>
      </c>
      <c r="H116" s="182">
        <v>335.44</v>
      </c>
      <c r="I116" s="182">
        <v>391.24</v>
      </c>
      <c r="J116" s="182">
        <v>293.43</v>
      </c>
      <c r="K116" s="182">
        <v>293.43</v>
      </c>
      <c r="L116" s="182">
        <v>293.43</v>
      </c>
      <c r="M116" s="182">
        <v>146.72</v>
      </c>
      <c r="N116" s="182">
        <v>195.62</v>
      </c>
      <c r="O116" s="182">
        <v>733.57999999999993</v>
      </c>
      <c r="P116" s="178">
        <f t="shared" si="14"/>
        <v>3641.2899999999995</v>
      </c>
      <c r="Q116" s="167"/>
      <c r="R116" s="182">
        <f t="shared" si="15"/>
        <v>5</v>
      </c>
      <c r="S116" s="182">
        <f t="shared" si="15"/>
        <v>5</v>
      </c>
      <c r="T116" s="182">
        <f t="shared" si="15"/>
        <v>3.5</v>
      </c>
      <c r="U116" s="182">
        <f t="shared" si="21"/>
        <v>4</v>
      </c>
      <c r="V116" s="182">
        <f t="shared" si="21"/>
        <v>3</v>
      </c>
      <c r="W116" s="182">
        <f t="shared" si="21"/>
        <v>3</v>
      </c>
      <c r="X116" s="182">
        <f t="shared" si="21"/>
        <v>3</v>
      </c>
      <c r="Y116" s="182">
        <f t="shared" si="21"/>
        <v>1.5000511195174318</v>
      </c>
      <c r="Z116" s="182">
        <f t="shared" si="21"/>
        <v>2</v>
      </c>
      <c r="AA116" s="182">
        <f t="shared" si="21"/>
        <v>7.5000511195174306</v>
      </c>
      <c r="AB116" s="184">
        <f t="shared" si="19"/>
        <v>37.500102239034867</v>
      </c>
      <c r="AC116" s="182">
        <f t="shared" si="17"/>
        <v>3.1250085199195721</v>
      </c>
      <c r="AD116" s="185">
        <f t="shared" si="20"/>
        <v>3.1250085199195721</v>
      </c>
      <c r="AE116" s="178">
        <f t="shared" si="18"/>
        <v>97.10080193353933</v>
      </c>
    </row>
    <row r="117" spans="1:31" s="38" customFormat="1">
      <c r="A117" s="183" t="s">
        <v>374</v>
      </c>
      <c r="B117" s="183" t="s">
        <v>375</v>
      </c>
      <c r="C117" s="181">
        <v>238.79</v>
      </c>
      <c r="D117" s="181">
        <v>244.51</v>
      </c>
      <c r="E117" s="181"/>
      <c r="F117" s="182">
        <v>3581.8500000000004</v>
      </c>
      <c r="G117" s="182">
        <v>3581.8500000000004</v>
      </c>
      <c r="H117" s="182">
        <v>3581.8500000000004</v>
      </c>
      <c r="I117" s="182">
        <v>3667.6499999999996</v>
      </c>
      <c r="J117" s="182">
        <v>3667.6499999999996</v>
      </c>
      <c r="K117" s="182">
        <v>3667.6499999999996</v>
      </c>
      <c r="L117" s="182">
        <v>3667.6499999999996</v>
      </c>
      <c r="M117" s="182">
        <v>3912.17</v>
      </c>
      <c r="N117" s="182">
        <v>4156.67</v>
      </c>
      <c r="O117" s="182">
        <v>13509.2</v>
      </c>
      <c r="P117" s="178">
        <f t="shared" si="14"/>
        <v>46994.19</v>
      </c>
      <c r="Q117" s="167"/>
      <c r="R117" s="182">
        <f t="shared" si="15"/>
        <v>15.000000000000002</v>
      </c>
      <c r="S117" s="182">
        <f t="shared" si="15"/>
        <v>15.000000000000002</v>
      </c>
      <c r="T117" s="182">
        <f t="shared" si="15"/>
        <v>15.000000000000002</v>
      </c>
      <c r="U117" s="182">
        <f t="shared" si="21"/>
        <v>14.999999999999998</v>
      </c>
      <c r="V117" s="182">
        <f t="shared" si="21"/>
        <v>14.999999999999998</v>
      </c>
      <c r="W117" s="182">
        <f t="shared" si="21"/>
        <v>14.999999999999998</v>
      </c>
      <c r="X117" s="182">
        <f t="shared" si="21"/>
        <v>14.999999999999998</v>
      </c>
      <c r="Y117" s="182">
        <f t="shared" si="21"/>
        <v>16.000040898122776</v>
      </c>
      <c r="Z117" s="182">
        <f t="shared" si="21"/>
        <v>17</v>
      </c>
      <c r="AA117" s="182">
        <f t="shared" si="21"/>
        <v>55.25009202077625</v>
      </c>
      <c r="AB117" s="184">
        <f t="shared" si="19"/>
        <v>193.25013291889906</v>
      </c>
      <c r="AC117" s="182">
        <f t="shared" si="17"/>
        <v>16.104177743241589</v>
      </c>
      <c r="AD117" s="185">
        <f t="shared" si="20"/>
        <v>16.104177743241589</v>
      </c>
      <c r="AE117" s="178">
        <f t="shared" si="18"/>
        <v>243.17804748792577</v>
      </c>
    </row>
    <row r="118" spans="1:31" s="38" customFormat="1">
      <c r="A118" s="183" t="s">
        <v>376</v>
      </c>
      <c r="B118" s="183" t="s">
        <v>377</v>
      </c>
      <c r="C118" s="181">
        <v>451.13</v>
      </c>
      <c r="D118" s="181">
        <v>462.57</v>
      </c>
      <c r="E118" s="181"/>
      <c r="F118" s="182">
        <v>451.13</v>
      </c>
      <c r="G118" s="182">
        <v>451.13</v>
      </c>
      <c r="H118" s="182">
        <v>451.13</v>
      </c>
      <c r="I118" s="182">
        <v>462.57</v>
      </c>
      <c r="J118" s="182">
        <v>462.57</v>
      </c>
      <c r="K118" s="182">
        <v>462.57</v>
      </c>
      <c r="L118" s="182">
        <v>462.57</v>
      </c>
      <c r="M118" s="182">
        <v>231.29</v>
      </c>
      <c r="N118" s="182">
        <v>0</v>
      </c>
      <c r="O118" s="182">
        <v>0</v>
      </c>
      <c r="P118" s="178">
        <f t="shared" si="14"/>
        <v>3434.96</v>
      </c>
      <c r="Q118" s="167"/>
      <c r="R118" s="182">
        <f t="shared" si="15"/>
        <v>1</v>
      </c>
      <c r="S118" s="182">
        <f t="shared" si="15"/>
        <v>1</v>
      </c>
      <c r="T118" s="182">
        <f t="shared" si="15"/>
        <v>1</v>
      </c>
      <c r="U118" s="182">
        <f t="shared" si="21"/>
        <v>1</v>
      </c>
      <c r="V118" s="182">
        <f t="shared" si="21"/>
        <v>1</v>
      </c>
      <c r="W118" s="182">
        <f t="shared" si="21"/>
        <v>1</v>
      </c>
      <c r="X118" s="182">
        <f t="shared" si="21"/>
        <v>1</v>
      </c>
      <c r="Y118" s="182">
        <f t="shared" si="21"/>
        <v>0.50001080917482754</v>
      </c>
      <c r="Z118" s="182">
        <f t="shared" si="21"/>
        <v>0</v>
      </c>
      <c r="AA118" s="182">
        <f t="shared" si="21"/>
        <v>0</v>
      </c>
      <c r="AB118" s="184">
        <f t="shared" si="19"/>
        <v>7.5000108091748272</v>
      </c>
      <c r="AC118" s="182">
        <f t="shared" si="17"/>
        <v>0.62500090076456893</v>
      </c>
      <c r="AD118" s="185">
        <f t="shared" si="20"/>
        <v>0.62500090076456893</v>
      </c>
      <c r="AE118" s="178">
        <f t="shared" si="18"/>
        <v>457.9940065950284</v>
      </c>
    </row>
    <row r="119" spans="1:31" s="38" customFormat="1">
      <c r="A119" s="183" t="s">
        <v>378</v>
      </c>
      <c r="B119" s="183" t="s">
        <v>379</v>
      </c>
      <c r="C119" s="181">
        <v>132.87</v>
      </c>
      <c r="D119" s="181">
        <v>135.72999999999999</v>
      </c>
      <c r="E119" s="181"/>
      <c r="F119" s="182">
        <v>132.87</v>
      </c>
      <c r="G119" s="182">
        <v>132.87</v>
      </c>
      <c r="H119" s="182">
        <v>132.87</v>
      </c>
      <c r="I119" s="182">
        <v>135.72999999999999</v>
      </c>
      <c r="J119" s="182">
        <v>135.72999999999999</v>
      </c>
      <c r="K119" s="182">
        <v>135.72999999999999</v>
      </c>
      <c r="L119" s="182">
        <v>135.72999999999999</v>
      </c>
      <c r="M119" s="182">
        <v>135.72999999999999</v>
      </c>
      <c r="N119" s="182">
        <v>135.72999999999999</v>
      </c>
      <c r="O119" s="182">
        <v>407.19</v>
      </c>
      <c r="P119" s="178">
        <f t="shared" si="14"/>
        <v>1620.18</v>
      </c>
      <c r="Q119" s="167"/>
      <c r="R119" s="182">
        <f t="shared" si="15"/>
        <v>1</v>
      </c>
      <c r="S119" s="182">
        <f t="shared" si="15"/>
        <v>1</v>
      </c>
      <c r="T119" s="182">
        <f t="shared" si="15"/>
        <v>1</v>
      </c>
      <c r="U119" s="182">
        <f t="shared" si="21"/>
        <v>1</v>
      </c>
      <c r="V119" s="182">
        <f t="shared" si="21"/>
        <v>1</v>
      </c>
      <c r="W119" s="182">
        <f t="shared" si="21"/>
        <v>1</v>
      </c>
      <c r="X119" s="182">
        <f t="shared" si="21"/>
        <v>1</v>
      </c>
      <c r="Y119" s="182">
        <f t="shared" si="21"/>
        <v>1</v>
      </c>
      <c r="Z119" s="182">
        <f t="shared" si="21"/>
        <v>1</v>
      </c>
      <c r="AA119" s="182">
        <f t="shared" si="21"/>
        <v>3</v>
      </c>
      <c r="AB119" s="184">
        <f t="shared" si="19"/>
        <v>12</v>
      </c>
      <c r="AC119" s="182">
        <f t="shared" si="17"/>
        <v>1</v>
      </c>
      <c r="AD119" s="185">
        <f t="shared" si="20"/>
        <v>1</v>
      </c>
      <c r="AE119" s="178">
        <f t="shared" si="18"/>
        <v>135.01500000000001</v>
      </c>
    </row>
    <row r="120" spans="1:31" s="38" customFormat="1">
      <c r="A120" s="183" t="s">
        <v>380</v>
      </c>
      <c r="B120" s="183" t="s">
        <v>381</v>
      </c>
      <c r="C120" s="181">
        <v>297.33999999999997</v>
      </c>
      <c r="D120" s="181">
        <v>304.74</v>
      </c>
      <c r="E120" s="181"/>
      <c r="F120" s="182">
        <v>5872.4699999999993</v>
      </c>
      <c r="G120" s="182">
        <v>5352.12</v>
      </c>
      <c r="H120" s="182">
        <v>5277.79</v>
      </c>
      <c r="I120" s="182">
        <v>5180.58</v>
      </c>
      <c r="J120" s="182">
        <v>5137.28</v>
      </c>
      <c r="K120" s="182">
        <v>5485.32</v>
      </c>
      <c r="L120" s="182">
        <v>5485.32</v>
      </c>
      <c r="M120" s="182">
        <v>5180.59</v>
      </c>
      <c r="N120" s="182">
        <v>5866.26</v>
      </c>
      <c r="O120" s="182">
        <v>22398.39</v>
      </c>
      <c r="P120" s="178">
        <f t="shared" si="14"/>
        <v>71236.12</v>
      </c>
      <c r="Q120" s="167"/>
      <c r="R120" s="182">
        <f t="shared" si="15"/>
        <v>19.750016815766461</v>
      </c>
      <c r="S120" s="182">
        <f t="shared" si="15"/>
        <v>18</v>
      </c>
      <c r="T120" s="182">
        <f t="shared" si="15"/>
        <v>17.750016815766465</v>
      </c>
      <c r="U120" s="182">
        <f t="shared" si="21"/>
        <v>17</v>
      </c>
      <c r="V120" s="182">
        <f t="shared" si="21"/>
        <v>16.857911662400735</v>
      </c>
      <c r="W120" s="182">
        <f t="shared" si="21"/>
        <v>18</v>
      </c>
      <c r="X120" s="182">
        <f t="shared" si="21"/>
        <v>18</v>
      </c>
      <c r="Y120" s="182">
        <f t="shared" si="21"/>
        <v>17.000032814858567</v>
      </c>
      <c r="Z120" s="182">
        <f t="shared" si="21"/>
        <v>19.250049222287853</v>
      </c>
      <c r="AA120" s="182">
        <f t="shared" si="21"/>
        <v>73.5</v>
      </c>
      <c r="AB120" s="184">
        <f t="shared" si="19"/>
        <v>235.10802733108008</v>
      </c>
      <c r="AC120" s="182">
        <f t="shared" si="17"/>
        <v>19.592335610923339</v>
      </c>
      <c r="AD120" s="185">
        <f t="shared" si="20"/>
        <v>19.592335610923339</v>
      </c>
      <c r="AE120" s="178">
        <f t="shared" si="18"/>
        <v>302.99314238082138</v>
      </c>
    </row>
    <row r="121" spans="1:31" s="38" customFormat="1">
      <c r="A121" s="183" t="s">
        <v>382</v>
      </c>
      <c r="B121" s="183" t="s">
        <v>383</v>
      </c>
      <c r="C121" s="181">
        <v>562.34</v>
      </c>
      <c r="D121" s="181">
        <v>577.14</v>
      </c>
      <c r="E121" s="181"/>
      <c r="F121" s="182">
        <v>562.34</v>
      </c>
      <c r="G121" s="182">
        <v>562.34</v>
      </c>
      <c r="H121" s="182">
        <v>562.34</v>
      </c>
      <c r="I121" s="182">
        <v>577.14</v>
      </c>
      <c r="J121" s="182">
        <v>577.14</v>
      </c>
      <c r="K121" s="182">
        <v>577.14</v>
      </c>
      <c r="L121" s="182">
        <v>577.14</v>
      </c>
      <c r="M121" s="182">
        <v>793.56999999999994</v>
      </c>
      <c r="N121" s="182">
        <v>1154.28</v>
      </c>
      <c r="O121" s="182">
        <v>3462.84</v>
      </c>
      <c r="P121" s="178">
        <f t="shared" si="14"/>
        <v>9406.27</v>
      </c>
      <c r="Q121" s="167"/>
      <c r="R121" s="182">
        <f t="shared" si="15"/>
        <v>1</v>
      </c>
      <c r="S121" s="182">
        <f t="shared" si="15"/>
        <v>1</v>
      </c>
      <c r="T121" s="182">
        <f t="shared" si="15"/>
        <v>1</v>
      </c>
      <c r="U121" s="182">
        <f t="shared" si="21"/>
        <v>1</v>
      </c>
      <c r="V121" s="182">
        <f t="shared" si="21"/>
        <v>1</v>
      </c>
      <c r="W121" s="182">
        <f t="shared" si="21"/>
        <v>1</v>
      </c>
      <c r="X121" s="182">
        <f t="shared" si="21"/>
        <v>1</v>
      </c>
      <c r="Y121" s="182">
        <f t="shared" si="21"/>
        <v>1.3750043317046123</v>
      </c>
      <c r="Z121" s="182">
        <f t="shared" si="21"/>
        <v>2</v>
      </c>
      <c r="AA121" s="182">
        <f t="shared" si="21"/>
        <v>6</v>
      </c>
      <c r="AB121" s="184">
        <f t="shared" si="19"/>
        <v>16.375004331704613</v>
      </c>
      <c r="AC121" s="182">
        <f t="shared" si="17"/>
        <v>1.3645836943087177</v>
      </c>
      <c r="AD121" s="185">
        <f t="shared" si="20"/>
        <v>1.3645836943087177</v>
      </c>
      <c r="AE121" s="178">
        <f t="shared" si="18"/>
        <v>574.42855033558465</v>
      </c>
    </row>
    <row r="122" spans="1:31" s="38" customFormat="1">
      <c r="A122" s="183" t="s">
        <v>384</v>
      </c>
      <c r="B122" s="183" t="s">
        <v>385</v>
      </c>
      <c r="C122" s="181">
        <v>165.14</v>
      </c>
      <c r="D122" s="181">
        <v>168.85</v>
      </c>
      <c r="E122" s="181"/>
      <c r="F122" s="182">
        <v>1321.12</v>
      </c>
      <c r="G122" s="182">
        <v>1486.2599999999998</v>
      </c>
      <c r="H122" s="182">
        <v>1486.2599999999998</v>
      </c>
      <c r="I122" s="182">
        <v>1519.6499999999999</v>
      </c>
      <c r="J122" s="182">
        <v>1435.23</v>
      </c>
      <c r="K122" s="182">
        <v>1350.8</v>
      </c>
      <c r="L122" s="182">
        <v>1350.8</v>
      </c>
      <c r="M122" s="182">
        <v>1350.8</v>
      </c>
      <c r="N122" s="182">
        <v>1013.1</v>
      </c>
      <c r="O122" s="182">
        <v>2532.75</v>
      </c>
      <c r="P122" s="178">
        <f t="shared" si="14"/>
        <v>14846.769999999997</v>
      </c>
      <c r="Q122" s="167"/>
      <c r="R122" s="182">
        <f t="shared" si="15"/>
        <v>8</v>
      </c>
      <c r="S122" s="182">
        <f t="shared" si="15"/>
        <v>9</v>
      </c>
      <c r="T122" s="182">
        <f t="shared" si="15"/>
        <v>9</v>
      </c>
      <c r="U122" s="182">
        <f t="shared" si="21"/>
        <v>9</v>
      </c>
      <c r="V122" s="182">
        <f t="shared" si="21"/>
        <v>8.5000296120817289</v>
      </c>
      <c r="W122" s="182">
        <f t="shared" si="21"/>
        <v>8</v>
      </c>
      <c r="X122" s="182">
        <f t="shared" si="21"/>
        <v>8</v>
      </c>
      <c r="Y122" s="182">
        <f t="shared" si="21"/>
        <v>8</v>
      </c>
      <c r="Z122" s="182">
        <f t="shared" si="21"/>
        <v>6</v>
      </c>
      <c r="AA122" s="182">
        <f t="shared" si="21"/>
        <v>15</v>
      </c>
      <c r="AB122" s="184">
        <f t="shared" si="19"/>
        <v>88.500029612081732</v>
      </c>
      <c r="AC122" s="182">
        <f t="shared" si="17"/>
        <v>7.375002467673478</v>
      </c>
      <c r="AD122" s="185">
        <f t="shared" si="20"/>
        <v>7.375002467673478</v>
      </c>
      <c r="AE122" s="178">
        <f t="shared" si="18"/>
        <v>167.76005686186986</v>
      </c>
    </row>
    <row r="123" spans="1:31" s="38" customFormat="1">
      <c r="A123" s="183" t="s">
        <v>386</v>
      </c>
      <c r="B123" s="183" t="s">
        <v>387</v>
      </c>
      <c r="C123" s="181">
        <v>431.64</v>
      </c>
      <c r="D123" s="181">
        <v>441.82</v>
      </c>
      <c r="E123" s="181"/>
      <c r="F123" s="182">
        <v>4640.13</v>
      </c>
      <c r="G123" s="182">
        <v>3561.0299999999997</v>
      </c>
      <c r="H123" s="182">
        <v>3453.12</v>
      </c>
      <c r="I123" s="182">
        <v>3424.11</v>
      </c>
      <c r="J123" s="182">
        <v>3203.19</v>
      </c>
      <c r="K123" s="182">
        <v>3424.11</v>
      </c>
      <c r="L123" s="182">
        <v>3976.4</v>
      </c>
      <c r="M123" s="182">
        <v>3976.38</v>
      </c>
      <c r="N123" s="182">
        <v>3976.38</v>
      </c>
      <c r="O123" s="182">
        <v>13917.330000000002</v>
      </c>
      <c r="P123" s="178">
        <f t="shared" si="14"/>
        <v>47552.18</v>
      </c>
      <c r="Q123" s="167"/>
      <c r="R123" s="182">
        <f t="shared" si="15"/>
        <v>10.75</v>
      </c>
      <c r="S123" s="182">
        <f t="shared" si="15"/>
        <v>8.25</v>
      </c>
      <c r="T123" s="182">
        <f t="shared" si="15"/>
        <v>8</v>
      </c>
      <c r="U123" s="182">
        <f t="shared" si="21"/>
        <v>7.7500113168258569</v>
      </c>
      <c r="V123" s="182">
        <f t="shared" si="21"/>
        <v>7.2499886831741431</v>
      </c>
      <c r="W123" s="182">
        <f t="shared" si="21"/>
        <v>7.7500113168258569</v>
      </c>
      <c r="X123" s="182">
        <f t="shared" si="21"/>
        <v>9.0000452673034275</v>
      </c>
      <c r="Y123" s="182">
        <f t="shared" si="21"/>
        <v>9</v>
      </c>
      <c r="Z123" s="182">
        <f t="shared" si="21"/>
        <v>9</v>
      </c>
      <c r="AA123" s="182">
        <f t="shared" si="21"/>
        <v>31.500000000000004</v>
      </c>
      <c r="AB123" s="184">
        <f t="shared" si="19"/>
        <v>108.25005658412928</v>
      </c>
      <c r="AC123" s="182">
        <f t="shared" si="17"/>
        <v>9.0208380486774402</v>
      </c>
      <c r="AD123" s="185">
        <f t="shared" si="20"/>
        <v>9.0208380486774402</v>
      </c>
      <c r="AE123" s="178">
        <f t="shared" si="18"/>
        <v>439.28087892539452</v>
      </c>
    </row>
    <row r="124" spans="1:31" s="38" customFormat="1">
      <c r="A124" s="183" t="s">
        <v>388</v>
      </c>
      <c r="B124" s="183" t="s">
        <v>389</v>
      </c>
      <c r="C124" s="181">
        <v>805.23</v>
      </c>
      <c r="D124" s="181">
        <v>825.59</v>
      </c>
      <c r="E124" s="181"/>
      <c r="F124" s="182">
        <v>805.23</v>
      </c>
      <c r="G124" s="182">
        <v>503.27</v>
      </c>
      <c r="H124" s="182">
        <v>805.23</v>
      </c>
      <c r="I124" s="182">
        <v>825.59</v>
      </c>
      <c r="J124" s="182">
        <v>825.59</v>
      </c>
      <c r="K124" s="182">
        <v>825.59</v>
      </c>
      <c r="L124" s="182">
        <v>1238.3900000000001</v>
      </c>
      <c r="M124" s="182">
        <v>2476.77</v>
      </c>
      <c r="N124" s="182">
        <v>2476.77</v>
      </c>
      <c r="O124" s="182">
        <v>9907.08</v>
      </c>
      <c r="P124" s="178">
        <f t="shared" si="14"/>
        <v>20689.510000000002</v>
      </c>
      <c r="Q124" s="167"/>
      <c r="R124" s="182">
        <f t="shared" si="15"/>
        <v>1</v>
      </c>
      <c r="S124" s="182">
        <f t="shared" si="15"/>
        <v>0.62500155235150201</v>
      </c>
      <c r="T124" s="182">
        <f t="shared" si="15"/>
        <v>1</v>
      </c>
      <c r="U124" s="182">
        <f t="shared" si="21"/>
        <v>1</v>
      </c>
      <c r="V124" s="182">
        <f t="shared" si="21"/>
        <v>1</v>
      </c>
      <c r="W124" s="182">
        <f t="shared" si="21"/>
        <v>1</v>
      </c>
      <c r="X124" s="182">
        <f t="shared" si="21"/>
        <v>1.5000060562749065</v>
      </c>
      <c r="Y124" s="182">
        <f t="shared" si="21"/>
        <v>3</v>
      </c>
      <c r="Z124" s="182">
        <f t="shared" si="21"/>
        <v>3</v>
      </c>
      <c r="AA124" s="182">
        <f t="shared" si="21"/>
        <v>12</v>
      </c>
      <c r="AB124" s="184">
        <f t="shared" si="19"/>
        <v>25.125007608626408</v>
      </c>
      <c r="AC124" s="182">
        <f t="shared" si="17"/>
        <v>2.0937506340522005</v>
      </c>
      <c r="AD124" s="185">
        <f t="shared" si="20"/>
        <v>2.0937506340522005</v>
      </c>
      <c r="AE124" s="178">
        <f t="shared" si="18"/>
        <v>823.46283520712154</v>
      </c>
    </row>
    <row r="125" spans="1:31" s="38" customFormat="1">
      <c r="A125" s="183" t="s">
        <v>390</v>
      </c>
      <c r="B125" s="183" t="s">
        <v>391</v>
      </c>
      <c r="C125" s="181">
        <v>245.33</v>
      </c>
      <c r="D125" s="181">
        <v>250.38</v>
      </c>
      <c r="E125" s="181"/>
      <c r="F125" s="182">
        <v>981.34</v>
      </c>
      <c r="G125" s="182">
        <v>981.32</v>
      </c>
      <c r="H125" s="182">
        <v>981.32</v>
      </c>
      <c r="I125" s="182">
        <v>1001.52</v>
      </c>
      <c r="J125" s="182">
        <v>1189.31</v>
      </c>
      <c r="K125" s="182">
        <v>1251.9000000000001</v>
      </c>
      <c r="L125" s="182">
        <v>1251.9000000000001</v>
      </c>
      <c r="M125" s="182">
        <v>1502.2800000000002</v>
      </c>
      <c r="N125" s="182">
        <v>1752.6599999999999</v>
      </c>
      <c r="O125" s="182">
        <v>5383.17</v>
      </c>
      <c r="P125" s="178">
        <f t="shared" si="14"/>
        <v>16276.72</v>
      </c>
      <c r="Q125" s="167"/>
      <c r="R125" s="182">
        <f t="shared" si="15"/>
        <v>4.0000815228467781</v>
      </c>
      <c r="S125" s="182">
        <f t="shared" si="15"/>
        <v>4</v>
      </c>
      <c r="T125" s="182">
        <f t="shared" si="15"/>
        <v>4</v>
      </c>
      <c r="U125" s="182">
        <f t="shared" si="21"/>
        <v>4</v>
      </c>
      <c r="V125" s="182">
        <f t="shared" si="21"/>
        <v>4.7500199696461376</v>
      </c>
      <c r="W125" s="182">
        <f t="shared" si="21"/>
        <v>5.0000000000000009</v>
      </c>
      <c r="X125" s="182">
        <f t="shared" si="21"/>
        <v>5.0000000000000009</v>
      </c>
      <c r="Y125" s="182">
        <f t="shared" si="21"/>
        <v>6.0000000000000009</v>
      </c>
      <c r="Z125" s="182">
        <f t="shared" si="21"/>
        <v>6.9999999999999991</v>
      </c>
      <c r="AA125" s="182">
        <f t="shared" si="21"/>
        <v>21.5</v>
      </c>
      <c r="AB125" s="184">
        <f t="shared" si="19"/>
        <v>65.250101492492917</v>
      </c>
      <c r="AC125" s="182">
        <f t="shared" si="17"/>
        <v>5.437508457707743</v>
      </c>
      <c r="AD125" s="185">
        <f t="shared" si="20"/>
        <v>5.437508457707743</v>
      </c>
      <c r="AE125" s="178">
        <f t="shared" si="18"/>
        <v>249.45125950298561</v>
      </c>
    </row>
    <row r="126" spans="1:31" s="38" customFormat="1">
      <c r="A126" s="183" t="s">
        <v>392</v>
      </c>
      <c r="B126" s="183" t="s">
        <v>393</v>
      </c>
      <c r="C126" s="181">
        <v>528.88</v>
      </c>
      <c r="D126" s="181">
        <v>540.74</v>
      </c>
      <c r="E126" s="181"/>
      <c r="F126" s="182">
        <v>2115.52</v>
      </c>
      <c r="G126" s="182">
        <v>2115.52</v>
      </c>
      <c r="H126" s="182">
        <v>2115.52</v>
      </c>
      <c r="I126" s="182">
        <v>2162.96</v>
      </c>
      <c r="J126" s="182">
        <v>2433.33</v>
      </c>
      <c r="K126" s="182">
        <v>3109.26</v>
      </c>
      <c r="L126" s="182">
        <v>3244.4399999999996</v>
      </c>
      <c r="M126" s="182">
        <v>2568.5100000000002</v>
      </c>
      <c r="N126" s="182">
        <v>2974.0699999999997</v>
      </c>
      <c r="O126" s="182">
        <v>8787.0300000000007</v>
      </c>
      <c r="P126" s="178">
        <f t="shared" si="14"/>
        <v>31626.159999999996</v>
      </c>
      <c r="Q126" s="167"/>
      <c r="R126" s="182">
        <f t="shared" si="15"/>
        <v>4</v>
      </c>
      <c r="S126" s="182">
        <f t="shared" si="15"/>
        <v>4</v>
      </c>
      <c r="T126" s="182">
        <f t="shared" si="15"/>
        <v>4</v>
      </c>
      <c r="U126" s="182">
        <f t="shared" si="21"/>
        <v>4</v>
      </c>
      <c r="V126" s="182">
        <f t="shared" si="21"/>
        <v>4.5</v>
      </c>
      <c r="W126" s="182">
        <f t="shared" si="21"/>
        <v>5.750009246588009</v>
      </c>
      <c r="X126" s="182">
        <f t="shared" si="21"/>
        <v>5.9999999999999991</v>
      </c>
      <c r="Y126" s="182">
        <f t="shared" si="21"/>
        <v>4.749990753411991</v>
      </c>
      <c r="Z126" s="182">
        <f t="shared" si="21"/>
        <v>5.4999999999999991</v>
      </c>
      <c r="AA126" s="182">
        <f t="shared" si="21"/>
        <v>16.250009246588011</v>
      </c>
      <c r="AB126" s="184">
        <f t="shared" si="19"/>
        <v>58.750009246588007</v>
      </c>
      <c r="AC126" s="182">
        <f t="shared" si="17"/>
        <v>4.8958341038823336</v>
      </c>
      <c r="AD126" s="185">
        <f t="shared" si="20"/>
        <v>4.8958341038823336</v>
      </c>
      <c r="AE126" s="178">
        <f t="shared" si="18"/>
        <v>538.31753229616265</v>
      </c>
    </row>
    <row r="127" spans="1:31" s="38" customFormat="1">
      <c r="A127" s="183" t="s">
        <v>394</v>
      </c>
      <c r="B127" s="183" t="s">
        <v>395</v>
      </c>
      <c r="C127" s="181">
        <v>299.16000000000003</v>
      </c>
      <c r="D127" s="181">
        <v>305.11</v>
      </c>
      <c r="E127" s="181"/>
      <c r="F127" s="182">
        <v>299.16000000000003</v>
      </c>
      <c r="G127" s="182">
        <v>299.16000000000003</v>
      </c>
      <c r="H127" s="182">
        <v>299.16000000000003</v>
      </c>
      <c r="I127" s="182">
        <v>305.11</v>
      </c>
      <c r="J127" s="182">
        <v>305.11</v>
      </c>
      <c r="K127" s="182">
        <v>305.11</v>
      </c>
      <c r="L127" s="182">
        <v>305.11</v>
      </c>
      <c r="M127" s="182">
        <v>305.11</v>
      </c>
      <c r="N127" s="182">
        <v>0</v>
      </c>
      <c r="O127" s="182">
        <v>1220.44</v>
      </c>
      <c r="P127" s="178">
        <f t="shared" si="14"/>
        <v>3643.4700000000007</v>
      </c>
      <c r="Q127" s="167"/>
      <c r="R127" s="182">
        <f t="shared" si="15"/>
        <v>1</v>
      </c>
      <c r="S127" s="182">
        <f t="shared" si="15"/>
        <v>1</v>
      </c>
      <c r="T127" s="182">
        <f t="shared" si="15"/>
        <v>1</v>
      </c>
      <c r="U127" s="182">
        <f t="shared" si="21"/>
        <v>1</v>
      </c>
      <c r="V127" s="182">
        <f t="shared" si="21"/>
        <v>1</v>
      </c>
      <c r="W127" s="182">
        <f t="shared" si="21"/>
        <v>1</v>
      </c>
      <c r="X127" s="182">
        <f t="shared" si="21"/>
        <v>1</v>
      </c>
      <c r="Y127" s="182">
        <f t="shared" si="21"/>
        <v>1</v>
      </c>
      <c r="Z127" s="182">
        <f t="shared" si="21"/>
        <v>0</v>
      </c>
      <c r="AA127" s="182">
        <f t="shared" si="21"/>
        <v>4</v>
      </c>
      <c r="AB127" s="184">
        <f t="shared" si="19"/>
        <v>12</v>
      </c>
      <c r="AC127" s="182">
        <f t="shared" si="17"/>
        <v>1</v>
      </c>
      <c r="AD127" s="185">
        <f t="shared" si="20"/>
        <v>1</v>
      </c>
      <c r="AE127" s="178">
        <f t="shared" si="18"/>
        <v>303.62250000000006</v>
      </c>
    </row>
    <row r="128" spans="1:31" s="38" customFormat="1">
      <c r="A128" s="183" t="s">
        <v>396</v>
      </c>
      <c r="B128" s="183" t="s">
        <v>397</v>
      </c>
      <c r="C128" s="181">
        <v>13.94</v>
      </c>
      <c r="D128" s="181">
        <v>14.29</v>
      </c>
      <c r="E128" s="181"/>
      <c r="F128" s="182">
        <v>362.44000000000005</v>
      </c>
      <c r="G128" s="182">
        <v>344.16</v>
      </c>
      <c r="H128" s="182">
        <v>320.62</v>
      </c>
      <c r="I128" s="182">
        <v>313.31</v>
      </c>
      <c r="J128" s="182">
        <v>328.67</v>
      </c>
      <c r="K128" s="182">
        <v>328.67</v>
      </c>
      <c r="L128" s="182">
        <v>328.67</v>
      </c>
      <c r="M128" s="182">
        <v>328.67</v>
      </c>
      <c r="N128" s="182">
        <v>328.67</v>
      </c>
      <c r="O128" s="182">
        <v>2472.0100000000002</v>
      </c>
      <c r="P128" s="178">
        <f t="shared" si="14"/>
        <v>5455.8900000000012</v>
      </c>
      <c r="Q128" s="167"/>
      <c r="R128" s="182">
        <f t="shared" si="15"/>
        <v>26.000000000000004</v>
      </c>
      <c r="S128" s="182">
        <f t="shared" si="15"/>
        <v>24.688665710186516</v>
      </c>
      <c r="T128" s="182">
        <f t="shared" si="15"/>
        <v>23</v>
      </c>
      <c r="U128" s="182">
        <f t="shared" si="21"/>
        <v>21.925122463261022</v>
      </c>
      <c r="V128" s="182">
        <f t="shared" si="21"/>
        <v>23.000000000000004</v>
      </c>
      <c r="W128" s="182">
        <f t="shared" si="21"/>
        <v>23.000000000000004</v>
      </c>
      <c r="X128" s="182">
        <f t="shared" si="21"/>
        <v>23.000000000000004</v>
      </c>
      <c r="Y128" s="182">
        <f t="shared" si="21"/>
        <v>23.000000000000004</v>
      </c>
      <c r="Z128" s="182">
        <f t="shared" si="21"/>
        <v>23.000000000000004</v>
      </c>
      <c r="AA128" s="182">
        <f t="shared" si="21"/>
        <v>172.98880335899233</v>
      </c>
      <c r="AB128" s="184">
        <f t="shared" si="19"/>
        <v>383.60259153243987</v>
      </c>
      <c r="AC128" s="182">
        <f t="shared" si="17"/>
        <v>31.966882627703324</v>
      </c>
      <c r="AD128" s="185"/>
      <c r="AE128" s="178">
        <f t="shared" si="18"/>
        <v>14.222766270176818</v>
      </c>
    </row>
    <row r="129" spans="1:31" s="38" customFormat="1">
      <c r="A129" s="183" t="s">
        <v>398</v>
      </c>
      <c r="B129" s="183" t="s">
        <v>399</v>
      </c>
      <c r="C129" s="181">
        <v>13.94</v>
      </c>
      <c r="D129" s="181">
        <v>14.29</v>
      </c>
      <c r="E129" s="181"/>
      <c r="F129" s="182">
        <v>3819.56</v>
      </c>
      <c r="G129" s="182">
        <v>3819.56</v>
      </c>
      <c r="H129" s="182">
        <v>3819.56</v>
      </c>
      <c r="I129" s="182">
        <v>3915.46</v>
      </c>
      <c r="J129" s="182">
        <v>3915.46</v>
      </c>
      <c r="K129" s="182">
        <v>3922.61</v>
      </c>
      <c r="L129" s="182">
        <v>3915.46</v>
      </c>
      <c r="M129" s="182">
        <v>3915.46</v>
      </c>
      <c r="N129" s="182">
        <v>3911.8900000000003</v>
      </c>
      <c r="O129" s="182">
        <v>10291.81</v>
      </c>
      <c r="P129" s="178">
        <f t="shared" si="14"/>
        <v>45246.829999999994</v>
      </c>
      <c r="Q129" s="167"/>
      <c r="R129" s="182">
        <f t="shared" si="15"/>
        <v>274</v>
      </c>
      <c r="S129" s="182">
        <f t="shared" si="15"/>
        <v>274</v>
      </c>
      <c r="T129" s="182">
        <f t="shared" si="15"/>
        <v>274</v>
      </c>
      <c r="U129" s="182">
        <f t="shared" si="21"/>
        <v>274</v>
      </c>
      <c r="V129" s="182">
        <f t="shared" si="21"/>
        <v>274</v>
      </c>
      <c r="W129" s="182">
        <f t="shared" si="21"/>
        <v>274.50034989503149</v>
      </c>
      <c r="X129" s="182">
        <f t="shared" si="21"/>
        <v>274</v>
      </c>
      <c r="Y129" s="182">
        <f t="shared" si="21"/>
        <v>274</v>
      </c>
      <c r="Z129" s="182">
        <f t="shared" si="21"/>
        <v>273.7501749475158</v>
      </c>
      <c r="AA129" s="182">
        <f t="shared" si="21"/>
        <v>720.21063680895736</v>
      </c>
      <c r="AB129" s="184">
        <f t="shared" si="19"/>
        <v>3186.4611616515049</v>
      </c>
      <c r="AC129" s="182">
        <f t="shared" si="17"/>
        <v>265.53843013762543</v>
      </c>
      <c r="AD129" s="185"/>
      <c r="AE129" s="178">
        <f t="shared" si="18"/>
        <v>14.199711750620899</v>
      </c>
    </row>
    <row r="130" spans="1:31" s="38" customFormat="1">
      <c r="A130" s="183" t="s">
        <v>400</v>
      </c>
      <c r="B130" s="183" t="s">
        <v>401</v>
      </c>
      <c r="C130" s="181">
        <v>13.94</v>
      </c>
      <c r="D130" s="181">
        <v>14.29</v>
      </c>
      <c r="E130" s="181"/>
      <c r="F130" s="182">
        <v>13.94</v>
      </c>
      <c r="G130" s="182">
        <v>13.94</v>
      </c>
      <c r="H130" s="182">
        <v>13.94</v>
      </c>
      <c r="I130" s="182">
        <v>14.29</v>
      </c>
      <c r="J130" s="182">
        <v>14.29</v>
      </c>
      <c r="K130" s="182">
        <v>14.29</v>
      </c>
      <c r="L130" s="182">
        <v>14.29</v>
      </c>
      <c r="M130" s="182">
        <v>14.29</v>
      </c>
      <c r="N130" s="182">
        <v>14.29</v>
      </c>
      <c r="O130" s="182">
        <v>42.87</v>
      </c>
      <c r="P130" s="178">
        <f t="shared" si="14"/>
        <v>170.42999999999998</v>
      </c>
      <c r="Q130" s="167"/>
      <c r="R130" s="182">
        <f t="shared" si="15"/>
        <v>1</v>
      </c>
      <c r="S130" s="182">
        <f t="shared" si="15"/>
        <v>1</v>
      </c>
      <c r="T130" s="182">
        <f t="shared" si="15"/>
        <v>1</v>
      </c>
      <c r="U130" s="182">
        <f t="shared" si="21"/>
        <v>1</v>
      </c>
      <c r="V130" s="182">
        <f t="shared" si="21"/>
        <v>1</v>
      </c>
      <c r="W130" s="182">
        <f t="shared" si="21"/>
        <v>1</v>
      </c>
      <c r="X130" s="182">
        <f t="shared" si="21"/>
        <v>1</v>
      </c>
      <c r="Y130" s="182">
        <f t="shared" si="21"/>
        <v>1</v>
      </c>
      <c r="Z130" s="182">
        <f t="shared" si="21"/>
        <v>1</v>
      </c>
      <c r="AA130" s="182">
        <f t="shared" si="21"/>
        <v>3</v>
      </c>
      <c r="AB130" s="184">
        <f t="shared" si="19"/>
        <v>12</v>
      </c>
      <c r="AC130" s="182">
        <f t="shared" si="17"/>
        <v>1</v>
      </c>
      <c r="AD130" s="185"/>
      <c r="AE130" s="178">
        <f t="shared" si="18"/>
        <v>14.202499999999999</v>
      </c>
    </row>
    <row r="131" spans="1:31" s="38" customFormat="1">
      <c r="A131" s="183" t="s">
        <v>402</v>
      </c>
      <c r="B131" s="183" t="s">
        <v>403</v>
      </c>
      <c r="C131" s="181">
        <v>26.5</v>
      </c>
      <c r="D131" s="181">
        <v>27.19</v>
      </c>
      <c r="E131" s="181"/>
      <c r="F131" s="182">
        <v>-26.5</v>
      </c>
      <c r="G131" s="182">
        <v>0</v>
      </c>
      <c r="H131" s="182">
        <v>0</v>
      </c>
      <c r="I131" s="182">
        <v>0</v>
      </c>
      <c r="J131" s="182">
        <v>0</v>
      </c>
      <c r="K131" s="182">
        <v>0</v>
      </c>
      <c r="L131" s="182">
        <v>0</v>
      </c>
      <c r="M131" s="182">
        <v>0</v>
      </c>
      <c r="N131" s="182">
        <v>0</v>
      </c>
      <c r="O131" s="182">
        <v>20.39</v>
      </c>
      <c r="P131" s="178">
        <f t="shared" si="14"/>
        <v>-6.1099999999999994</v>
      </c>
      <c r="Q131" s="167"/>
      <c r="R131" s="182">
        <f t="shared" si="15"/>
        <v>-1</v>
      </c>
      <c r="S131" s="182">
        <f t="shared" si="15"/>
        <v>0</v>
      </c>
      <c r="T131" s="182">
        <f t="shared" si="15"/>
        <v>0</v>
      </c>
      <c r="U131" s="182">
        <f t="shared" si="21"/>
        <v>0</v>
      </c>
      <c r="V131" s="182">
        <f t="shared" si="21"/>
        <v>0</v>
      </c>
      <c r="W131" s="182">
        <f t="shared" si="21"/>
        <v>0</v>
      </c>
      <c r="X131" s="182">
        <f t="shared" si="21"/>
        <v>0</v>
      </c>
      <c r="Y131" s="182">
        <f t="shared" si="21"/>
        <v>0</v>
      </c>
      <c r="Z131" s="182">
        <f t="shared" si="21"/>
        <v>0</v>
      </c>
      <c r="AA131" s="182">
        <f t="shared" si="21"/>
        <v>0.74990805443177633</v>
      </c>
      <c r="AB131" s="184">
        <f t="shared" si="19"/>
        <v>-0.25009194556822367</v>
      </c>
      <c r="AC131" s="182">
        <f t="shared" si="17"/>
        <v>-2.0840995464018641E-2</v>
      </c>
      <c r="AD131" s="185"/>
      <c r="AE131" s="178">
        <f t="shared" si="18"/>
        <v>24.431014705882344</v>
      </c>
    </row>
    <row r="132" spans="1:31" s="38" customFormat="1">
      <c r="A132" s="183" t="s">
        <v>404</v>
      </c>
      <c r="B132" s="183" t="s">
        <v>405</v>
      </c>
      <c r="C132" s="181">
        <v>26.5</v>
      </c>
      <c r="D132" s="181">
        <v>27.19</v>
      </c>
      <c r="E132" s="181"/>
      <c r="F132" s="182">
        <v>132.5</v>
      </c>
      <c r="G132" s="182">
        <v>132.5</v>
      </c>
      <c r="H132" s="182">
        <v>132.5</v>
      </c>
      <c r="I132" s="182">
        <v>135.95000000000002</v>
      </c>
      <c r="J132" s="182">
        <v>135.95000000000002</v>
      </c>
      <c r="K132" s="182">
        <v>135.95000000000002</v>
      </c>
      <c r="L132" s="182">
        <v>135.95000000000002</v>
      </c>
      <c r="M132" s="182">
        <v>135.95000000000002</v>
      </c>
      <c r="N132" s="182">
        <v>135.95000000000002</v>
      </c>
      <c r="O132" s="182">
        <v>407.84999999999997</v>
      </c>
      <c r="P132" s="178">
        <f t="shared" si="14"/>
        <v>1621.0500000000002</v>
      </c>
      <c r="Q132" s="167"/>
      <c r="R132" s="182">
        <f t="shared" si="15"/>
        <v>5</v>
      </c>
      <c r="S132" s="182">
        <f t="shared" si="15"/>
        <v>5</v>
      </c>
      <c r="T132" s="182">
        <f t="shared" si="15"/>
        <v>5</v>
      </c>
      <c r="U132" s="182">
        <f t="shared" si="21"/>
        <v>5</v>
      </c>
      <c r="V132" s="182">
        <f t="shared" si="21"/>
        <v>5</v>
      </c>
      <c r="W132" s="182">
        <f t="shared" si="21"/>
        <v>5</v>
      </c>
      <c r="X132" s="182">
        <f t="shared" si="21"/>
        <v>5</v>
      </c>
      <c r="Y132" s="182">
        <f t="shared" si="21"/>
        <v>5</v>
      </c>
      <c r="Z132" s="182">
        <f t="shared" si="21"/>
        <v>5</v>
      </c>
      <c r="AA132" s="182">
        <f t="shared" si="21"/>
        <v>14.999999999999998</v>
      </c>
      <c r="AB132" s="184">
        <f t="shared" si="19"/>
        <v>60</v>
      </c>
      <c r="AC132" s="182">
        <f t="shared" si="17"/>
        <v>5</v>
      </c>
      <c r="AD132" s="185"/>
      <c r="AE132" s="178">
        <f t="shared" si="18"/>
        <v>27.017500000000002</v>
      </c>
    </row>
    <row r="133" spans="1:31" s="38" customFormat="1">
      <c r="A133" s="183" t="s">
        <v>406</v>
      </c>
      <c r="B133" s="183" t="s">
        <v>407</v>
      </c>
      <c r="C133" s="181">
        <v>39.75</v>
      </c>
      <c r="D133" s="181">
        <v>40.79</v>
      </c>
      <c r="E133" s="181"/>
      <c r="F133" s="182">
        <v>39.75</v>
      </c>
      <c r="G133" s="182">
        <v>39.75</v>
      </c>
      <c r="H133" s="182">
        <v>39.75</v>
      </c>
      <c r="I133" s="182">
        <v>40.79</v>
      </c>
      <c r="J133" s="182">
        <v>40.79</v>
      </c>
      <c r="K133" s="182">
        <v>40.79</v>
      </c>
      <c r="L133" s="182">
        <v>40.79</v>
      </c>
      <c r="M133" s="182">
        <v>40.79</v>
      </c>
      <c r="N133" s="182">
        <v>40.79</v>
      </c>
      <c r="O133" s="182">
        <v>122.37</v>
      </c>
      <c r="P133" s="178">
        <f t="shared" si="14"/>
        <v>486.36</v>
      </c>
      <c r="Q133" s="167"/>
      <c r="R133" s="182">
        <f t="shared" si="15"/>
        <v>1</v>
      </c>
      <c r="S133" s="182">
        <f t="shared" si="15"/>
        <v>1</v>
      </c>
      <c r="T133" s="182">
        <f t="shared" si="15"/>
        <v>1</v>
      </c>
      <c r="U133" s="182">
        <f t="shared" si="21"/>
        <v>1</v>
      </c>
      <c r="V133" s="182">
        <f t="shared" si="21"/>
        <v>1</v>
      </c>
      <c r="W133" s="182">
        <f t="shared" si="21"/>
        <v>1</v>
      </c>
      <c r="X133" s="182">
        <f t="shared" si="21"/>
        <v>1</v>
      </c>
      <c r="Y133" s="182">
        <f t="shared" si="21"/>
        <v>1</v>
      </c>
      <c r="Z133" s="182">
        <f t="shared" si="21"/>
        <v>1</v>
      </c>
      <c r="AA133" s="182">
        <f t="shared" si="21"/>
        <v>3</v>
      </c>
      <c r="AB133" s="184">
        <f t="shared" si="19"/>
        <v>12</v>
      </c>
      <c r="AC133" s="182">
        <f t="shared" si="17"/>
        <v>1</v>
      </c>
      <c r="AD133" s="185"/>
      <c r="AE133" s="178">
        <f t="shared" si="18"/>
        <v>40.53</v>
      </c>
    </row>
    <row r="134" spans="1:31" s="38" customFormat="1">
      <c r="A134" s="183" t="s">
        <v>408</v>
      </c>
      <c r="B134" s="183" t="s">
        <v>409</v>
      </c>
      <c r="C134" s="181">
        <v>39.75</v>
      </c>
      <c r="D134" s="181">
        <v>40.79</v>
      </c>
      <c r="E134" s="181"/>
      <c r="F134" s="182">
        <v>19.88</v>
      </c>
      <c r="G134" s="182">
        <v>39.75</v>
      </c>
      <c r="H134" s="182">
        <v>39.75</v>
      </c>
      <c r="I134" s="182">
        <v>40.79</v>
      </c>
      <c r="J134" s="182">
        <v>40.79</v>
      </c>
      <c r="K134" s="182">
        <v>40.79</v>
      </c>
      <c r="L134" s="182">
        <v>40.79</v>
      </c>
      <c r="M134" s="182">
        <v>40.79</v>
      </c>
      <c r="N134" s="182">
        <v>40.79</v>
      </c>
      <c r="O134" s="182">
        <v>91.78</v>
      </c>
      <c r="P134" s="178">
        <f t="shared" si="14"/>
        <v>435.9</v>
      </c>
      <c r="Q134" s="167"/>
      <c r="R134" s="182">
        <f t="shared" si="15"/>
        <v>0.50012578616352199</v>
      </c>
      <c r="S134" s="182">
        <f t="shared" si="15"/>
        <v>1</v>
      </c>
      <c r="T134" s="182">
        <f t="shared" si="15"/>
        <v>1</v>
      </c>
      <c r="U134" s="182">
        <f t="shared" si="21"/>
        <v>1</v>
      </c>
      <c r="V134" s="182">
        <f t="shared" si="21"/>
        <v>1</v>
      </c>
      <c r="W134" s="182">
        <f t="shared" si="21"/>
        <v>1</v>
      </c>
      <c r="X134" s="182">
        <f t="shared" si="21"/>
        <v>1</v>
      </c>
      <c r="Y134" s="182">
        <f t="shared" si="21"/>
        <v>1</v>
      </c>
      <c r="Z134" s="182">
        <f t="shared" si="21"/>
        <v>1</v>
      </c>
      <c r="AA134" s="182">
        <f t="shared" si="21"/>
        <v>2.250061289531748</v>
      </c>
      <c r="AB134" s="184">
        <f t="shared" si="19"/>
        <v>10.750187075695271</v>
      </c>
      <c r="AC134" s="182">
        <f t="shared" si="17"/>
        <v>0.89584892297460594</v>
      </c>
      <c r="AD134" s="185"/>
      <c r="AE134" s="178">
        <f t="shared" si="18"/>
        <v>40.548131574892437</v>
      </c>
    </row>
    <row r="135" spans="1:31" s="38" customFormat="1">
      <c r="A135" s="183" t="s">
        <v>410</v>
      </c>
      <c r="B135" s="183" t="s">
        <v>411</v>
      </c>
      <c r="C135" s="181">
        <v>79.5</v>
      </c>
      <c r="D135" s="181">
        <v>81.58</v>
      </c>
      <c r="E135" s="181"/>
      <c r="F135" s="182">
        <v>159</v>
      </c>
      <c r="G135" s="182">
        <v>159</v>
      </c>
      <c r="H135" s="182">
        <v>159</v>
      </c>
      <c r="I135" s="182">
        <v>163.16</v>
      </c>
      <c r="J135" s="182">
        <v>163.16</v>
      </c>
      <c r="K135" s="182">
        <v>163.16</v>
      </c>
      <c r="L135" s="182">
        <v>163.16</v>
      </c>
      <c r="M135" s="182">
        <v>163.16</v>
      </c>
      <c r="N135" s="182">
        <v>163.16</v>
      </c>
      <c r="O135" s="182">
        <v>489.48</v>
      </c>
      <c r="P135" s="178">
        <f t="shared" si="14"/>
        <v>1945.44</v>
      </c>
      <c r="Q135" s="167"/>
      <c r="R135" s="182">
        <f t="shared" si="15"/>
        <v>2</v>
      </c>
      <c r="S135" s="182">
        <f t="shared" si="15"/>
        <v>2</v>
      </c>
      <c r="T135" s="182">
        <f t="shared" si="15"/>
        <v>2</v>
      </c>
      <c r="U135" s="182">
        <f t="shared" si="21"/>
        <v>2</v>
      </c>
      <c r="V135" s="182">
        <f t="shared" si="21"/>
        <v>2</v>
      </c>
      <c r="W135" s="182">
        <f t="shared" si="21"/>
        <v>2</v>
      </c>
      <c r="X135" s="182">
        <f t="shared" si="21"/>
        <v>2</v>
      </c>
      <c r="Y135" s="182">
        <f t="shared" si="21"/>
        <v>2</v>
      </c>
      <c r="Z135" s="182">
        <f t="shared" si="21"/>
        <v>2</v>
      </c>
      <c r="AA135" s="182">
        <f t="shared" si="21"/>
        <v>6</v>
      </c>
      <c r="AB135" s="184">
        <f t="shared" si="19"/>
        <v>24</v>
      </c>
      <c r="AC135" s="182">
        <f t="shared" si="17"/>
        <v>2</v>
      </c>
      <c r="AD135" s="185"/>
      <c r="AE135" s="178">
        <f t="shared" si="18"/>
        <v>81.06</v>
      </c>
    </row>
    <row r="136" spans="1:31" s="38" customFormat="1">
      <c r="A136" s="183" t="s">
        <v>412</v>
      </c>
      <c r="B136" s="183" t="s">
        <v>413</v>
      </c>
      <c r="C136" s="181">
        <v>119.25</v>
      </c>
      <c r="D136" s="181">
        <v>122.36</v>
      </c>
      <c r="E136" s="181"/>
      <c r="F136" s="182">
        <v>119.25</v>
      </c>
      <c r="G136" s="182">
        <v>119.25</v>
      </c>
      <c r="H136" s="182">
        <v>119.25</v>
      </c>
      <c r="I136" s="182">
        <v>122.36</v>
      </c>
      <c r="J136" s="182">
        <v>122.36</v>
      </c>
      <c r="K136" s="182">
        <v>122.36</v>
      </c>
      <c r="L136" s="182">
        <v>122.36</v>
      </c>
      <c r="M136" s="182">
        <v>122.36</v>
      </c>
      <c r="N136" s="182">
        <v>122.36</v>
      </c>
      <c r="O136" s="182">
        <v>367.08</v>
      </c>
      <c r="P136" s="178">
        <f t="shared" si="14"/>
        <v>1458.99</v>
      </c>
      <c r="Q136" s="167"/>
      <c r="R136" s="182">
        <f t="shared" si="15"/>
        <v>1</v>
      </c>
      <c r="S136" s="182">
        <f t="shared" si="15"/>
        <v>1</v>
      </c>
      <c r="T136" s="182">
        <f t="shared" si="15"/>
        <v>1</v>
      </c>
      <c r="U136" s="182">
        <f t="shared" si="21"/>
        <v>1</v>
      </c>
      <c r="V136" s="182">
        <f t="shared" si="21"/>
        <v>1</v>
      </c>
      <c r="W136" s="182">
        <f t="shared" si="21"/>
        <v>1</v>
      </c>
      <c r="X136" s="182">
        <f t="shared" si="21"/>
        <v>1</v>
      </c>
      <c r="Y136" s="182">
        <f t="shared" si="21"/>
        <v>1</v>
      </c>
      <c r="Z136" s="182">
        <f t="shared" si="21"/>
        <v>1</v>
      </c>
      <c r="AA136" s="182">
        <f t="shared" si="21"/>
        <v>3</v>
      </c>
      <c r="AB136" s="184">
        <f t="shared" si="19"/>
        <v>12</v>
      </c>
      <c r="AC136" s="182">
        <f t="shared" si="17"/>
        <v>1</v>
      </c>
      <c r="AD136" s="185"/>
      <c r="AE136" s="178">
        <f t="shared" si="18"/>
        <v>121.5825</v>
      </c>
    </row>
    <row r="137" spans="1:31" s="38" customFormat="1">
      <c r="A137" s="183" t="s">
        <v>414</v>
      </c>
      <c r="B137" s="183" t="s">
        <v>415</v>
      </c>
      <c r="C137" s="181">
        <v>27.37</v>
      </c>
      <c r="D137" s="181">
        <v>27.93</v>
      </c>
      <c r="E137" s="181"/>
      <c r="F137" s="182">
        <v>164.22</v>
      </c>
      <c r="G137" s="182">
        <v>164.22</v>
      </c>
      <c r="H137" s="182">
        <v>150.54</v>
      </c>
      <c r="I137" s="182">
        <v>167.57999999999998</v>
      </c>
      <c r="J137" s="182">
        <v>160.60000000000002</v>
      </c>
      <c r="K137" s="182">
        <v>167.58</v>
      </c>
      <c r="L137" s="182">
        <v>139.65</v>
      </c>
      <c r="M137" s="182">
        <v>209.48000000000002</v>
      </c>
      <c r="N137" s="182">
        <v>223.44</v>
      </c>
      <c r="O137" s="182">
        <v>775.06</v>
      </c>
      <c r="P137" s="178">
        <f t="shared" si="14"/>
        <v>2322.37</v>
      </c>
      <c r="Q137" s="167"/>
      <c r="R137" s="182">
        <f t="shared" ref="R137:T167" si="22">IFERROR(F137/$C137,0)</f>
        <v>6</v>
      </c>
      <c r="S137" s="182">
        <f t="shared" si="22"/>
        <v>6</v>
      </c>
      <c r="T137" s="182">
        <f t="shared" si="22"/>
        <v>5.5001826817683588</v>
      </c>
      <c r="U137" s="182">
        <f t="shared" si="21"/>
        <v>5.9999999999999991</v>
      </c>
      <c r="V137" s="182">
        <f t="shared" si="21"/>
        <v>5.7500895094880065</v>
      </c>
      <c r="W137" s="182">
        <f t="shared" si="21"/>
        <v>6.0000000000000009</v>
      </c>
      <c r="X137" s="182">
        <f t="shared" si="21"/>
        <v>5</v>
      </c>
      <c r="Y137" s="182">
        <f t="shared" si="21"/>
        <v>7.500179018976012</v>
      </c>
      <c r="Z137" s="182">
        <f t="shared" si="21"/>
        <v>8</v>
      </c>
      <c r="AA137" s="182">
        <f t="shared" si="21"/>
        <v>27.750089509488003</v>
      </c>
      <c r="AB137" s="184">
        <f t="shared" si="19"/>
        <v>83.500540719720377</v>
      </c>
      <c r="AC137" s="182">
        <f t="shared" si="17"/>
        <v>6.9583783933100314</v>
      </c>
      <c r="AD137" s="185">
        <f t="shared" si="20"/>
        <v>6.9583783933100314</v>
      </c>
      <c r="AE137" s="178">
        <f t="shared" si="18"/>
        <v>27.812634265391342</v>
      </c>
    </row>
    <row r="138" spans="1:31" s="38" customFormat="1">
      <c r="A138" s="183" t="s">
        <v>416</v>
      </c>
      <c r="B138" s="183" t="s">
        <v>417</v>
      </c>
      <c r="C138" s="181">
        <v>27.37</v>
      </c>
      <c r="D138" s="181">
        <v>27.93</v>
      </c>
      <c r="E138" s="181"/>
      <c r="F138" s="182">
        <v>1176.9099999999999</v>
      </c>
      <c r="G138" s="182">
        <v>1176.9099999999999</v>
      </c>
      <c r="H138" s="182">
        <v>1176.9099999999999</v>
      </c>
      <c r="I138" s="182">
        <v>1200.99</v>
      </c>
      <c r="J138" s="182">
        <v>1200.99</v>
      </c>
      <c r="K138" s="182">
        <v>1200.99</v>
      </c>
      <c r="L138" s="182">
        <v>1200.99</v>
      </c>
      <c r="M138" s="182">
        <v>1200.99</v>
      </c>
      <c r="N138" s="182">
        <v>1200.99</v>
      </c>
      <c r="O138" s="182">
        <v>3519.1800000000003</v>
      </c>
      <c r="P138" s="178">
        <f t="shared" si="14"/>
        <v>14255.849999999999</v>
      </c>
      <c r="Q138" s="167"/>
      <c r="R138" s="182">
        <f t="shared" si="22"/>
        <v>42.999999999999993</v>
      </c>
      <c r="S138" s="182">
        <f t="shared" si="22"/>
        <v>42.999999999999993</v>
      </c>
      <c r="T138" s="182">
        <f t="shared" si="22"/>
        <v>42.999999999999993</v>
      </c>
      <c r="U138" s="182">
        <f t="shared" si="21"/>
        <v>43</v>
      </c>
      <c r="V138" s="182">
        <f t="shared" si="21"/>
        <v>43</v>
      </c>
      <c r="W138" s="182">
        <f t="shared" si="21"/>
        <v>43</v>
      </c>
      <c r="X138" s="182">
        <f t="shared" si="21"/>
        <v>43</v>
      </c>
      <c r="Y138" s="182">
        <f t="shared" si="21"/>
        <v>43</v>
      </c>
      <c r="Z138" s="182">
        <f t="shared" si="21"/>
        <v>43</v>
      </c>
      <c r="AA138" s="182">
        <f t="shared" si="21"/>
        <v>126.00000000000001</v>
      </c>
      <c r="AB138" s="184">
        <f t="shared" si="19"/>
        <v>513</v>
      </c>
      <c r="AC138" s="182">
        <f t="shared" si="17"/>
        <v>42.75</v>
      </c>
      <c r="AD138" s="185">
        <f t="shared" si="20"/>
        <v>42.75</v>
      </c>
      <c r="AE138" s="178">
        <f t="shared" si="18"/>
        <v>27.789181286549706</v>
      </c>
    </row>
    <row r="139" spans="1:31" s="38" customFormat="1">
      <c r="A139" s="183" t="s">
        <v>418</v>
      </c>
      <c r="B139" s="183" t="s">
        <v>419</v>
      </c>
      <c r="C139" s="181">
        <v>13.71</v>
      </c>
      <c r="D139" s="181">
        <v>14</v>
      </c>
      <c r="E139" s="181"/>
      <c r="F139" s="182">
        <v>66.430000000000007</v>
      </c>
      <c r="G139" s="182">
        <v>82.26</v>
      </c>
      <c r="H139" s="182">
        <v>82.26</v>
      </c>
      <c r="I139" s="182">
        <v>98</v>
      </c>
      <c r="J139" s="182">
        <v>98</v>
      </c>
      <c r="K139" s="182">
        <v>105</v>
      </c>
      <c r="L139" s="182">
        <v>112</v>
      </c>
      <c r="M139" s="182">
        <v>112</v>
      </c>
      <c r="N139" s="182">
        <v>112</v>
      </c>
      <c r="O139" s="182">
        <v>336</v>
      </c>
      <c r="P139" s="178">
        <f t="shared" si="14"/>
        <v>1203.95</v>
      </c>
      <c r="Q139" s="167"/>
      <c r="R139" s="182">
        <f t="shared" si="22"/>
        <v>4.8453683442742523</v>
      </c>
      <c r="S139" s="182">
        <f t="shared" si="22"/>
        <v>6</v>
      </c>
      <c r="T139" s="182">
        <f t="shared" si="22"/>
        <v>6</v>
      </c>
      <c r="U139" s="182">
        <f t="shared" si="21"/>
        <v>7</v>
      </c>
      <c r="V139" s="182">
        <f t="shared" si="21"/>
        <v>7</v>
      </c>
      <c r="W139" s="182">
        <f t="shared" si="21"/>
        <v>7.5</v>
      </c>
      <c r="X139" s="182">
        <f t="shared" si="21"/>
        <v>8</v>
      </c>
      <c r="Y139" s="182">
        <f t="shared" si="21"/>
        <v>8</v>
      </c>
      <c r="Z139" s="182">
        <f t="shared" si="21"/>
        <v>8</v>
      </c>
      <c r="AA139" s="182">
        <f t="shared" si="21"/>
        <v>24</v>
      </c>
      <c r="AB139" s="184">
        <f t="shared" si="19"/>
        <v>86.345368344274249</v>
      </c>
      <c r="AC139" s="182">
        <f t="shared" si="17"/>
        <v>7.1954473620228541</v>
      </c>
      <c r="AD139" s="185">
        <f t="shared" si="20"/>
        <v>7.1954473620228541</v>
      </c>
      <c r="AE139" s="178">
        <f t="shared" si="18"/>
        <v>13.94342305889111</v>
      </c>
    </row>
    <row r="140" spans="1:31" s="38" customFormat="1">
      <c r="A140" s="183" t="s">
        <v>420</v>
      </c>
      <c r="B140" s="183" t="s">
        <v>421</v>
      </c>
      <c r="C140" s="181">
        <v>13.71</v>
      </c>
      <c r="D140" s="181">
        <v>14</v>
      </c>
      <c r="E140" s="181"/>
      <c r="F140" s="182">
        <v>164.52</v>
      </c>
      <c r="G140" s="182">
        <v>164.52</v>
      </c>
      <c r="H140" s="182">
        <v>164.52</v>
      </c>
      <c r="I140" s="182">
        <v>168</v>
      </c>
      <c r="J140" s="182">
        <v>168</v>
      </c>
      <c r="K140" s="182">
        <v>168</v>
      </c>
      <c r="L140" s="182">
        <v>168</v>
      </c>
      <c r="M140" s="182">
        <v>168</v>
      </c>
      <c r="N140" s="182">
        <v>168</v>
      </c>
      <c r="O140" s="182">
        <v>445.88</v>
      </c>
      <c r="P140" s="178">
        <f t="shared" si="14"/>
        <v>1947.44</v>
      </c>
      <c r="Q140" s="167"/>
      <c r="R140" s="182">
        <f t="shared" si="22"/>
        <v>12</v>
      </c>
      <c r="S140" s="182">
        <f t="shared" si="22"/>
        <v>12</v>
      </c>
      <c r="T140" s="182">
        <f t="shared" si="22"/>
        <v>12</v>
      </c>
      <c r="U140" s="182">
        <f t="shared" si="21"/>
        <v>12</v>
      </c>
      <c r="V140" s="182">
        <f t="shared" si="21"/>
        <v>12</v>
      </c>
      <c r="W140" s="182">
        <f t="shared" si="21"/>
        <v>12</v>
      </c>
      <c r="X140" s="182">
        <f t="shared" si="21"/>
        <v>12</v>
      </c>
      <c r="Y140" s="182">
        <f t="shared" si="21"/>
        <v>12</v>
      </c>
      <c r="Z140" s="182">
        <f t="shared" si="21"/>
        <v>12</v>
      </c>
      <c r="AA140" s="182">
        <f t="shared" si="21"/>
        <v>31.848571428571429</v>
      </c>
      <c r="AB140" s="184">
        <f t="shared" si="19"/>
        <v>139.84857142857143</v>
      </c>
      <c r="AC140" s="182">
        <f t="shared" si="17"/>
        <v>11.654047619047619</v>
      </c>
      <c r="AD140" s="185">
        <f t="shared" si="20"/>
        <v>11.654047619047619</v>
      </c>
      <c r="AE140" s="178">
        <f t="shared" si="18"/>
        <v>13.925347825198685</v>
      </c>
    </row>
    <row r="141" spans="1:31" s="38" customFormat="1">
      <c r="A141" s="183" t="s">
        <v>422</v>
      </c>
      <c r="B141" s="183" t="s">
        <v>423</v>
      </c>
      <c r="C141" s="181">
        <v>54.74</v>
      </c>
      <c r="D141" s="181">
        <v>55.86</v>
      </c>
      <c r="E141" s="181"/>
      <c r="F141" s="182">
        <v>109.48</v>
      </c>
      <c r="G141" s="182">
        <v>109.48</v>
      </c>
      <c r="H141" s="182">
        <v>109.48</v>
      </c>
      <c r="I141" s="182">
        <v>111.72</v>
      </c>
      <c r="J141" s="182">
        <v>111.72</v>
      </c>
      <c r="K141" s="182">
        <v>111.72</v>
      </c>
      <c r="L141" s="182">
        <v>111.72</v>
      </c>
      <c r="M141" s="182">
        <v>111.72</v>
      </c>
      <c r="N141" s="182">
        <v>83.79</v>
      </c>
      <c r="O141" s="182">
        <v>167.58</v>
      </c>
      <c r="P141" s="178">
        <f t="shared" si="14"/>
        <v>1138.4100000000001</v>
      </c>
      <c r="Q141" s="167"/>
      <c r="R141" s="182">
        <f t="shared" si="22"/>
        <v>2</v>
      </c>
      <c r="S141" s="182">
        <f t="shared" si="22"/>
        <v>2</v>
      </c>
      <c r="T141" s="182">
        <f t="shared" si="22"/>
        <v>2</v>
      </c>
      <c r="U141" s="182">
        <f t="shared" ref="U141:AA156" si="23">IFERROR(I141/$D141,0)</f>
        <v>2</v>
      </c>
      <c r="V141" s="182">
        <f t="shared" si="23"/>
        <v>2</v>
      </c>
      <c r="W141" s="182">
        <f t="shared" si="23"/>
        <v>2</v>
      </c>
      <c r="X141" s="182">
        <f t="shared" si="23"/>
        <v>2</v>
      </c>
      <c r="Y141" s="182">
        <f t="shared" si="23"/>
        <v>2</v>
      </c>
      <c r="Z141" s="182">
        <f t="shared" si="23"/>
        <v>1.5000000000000002</v>
      </c>
      <c r="AA141" s="182">
        <f t="shared" si="23"/>
        <v>3.0000000000000004</v>
      </c>
      <c r="AB141" s="184">
        <f t="shared" si="19"/>
        <v>20.5</v>
      </c>
      <c r="AC141" s="182">
        <f t="shared" si="17"/>
        <v>1.7083333333333333</v>
      </c>
      <c r="AD141" s="185">
        <f>AC141*2</f>
        <v>3.4166666666666665</v>
      </c>
      <c r="AE141" s="178">
        <f t="shared" si="18"/>
        <v>55.532195121951226</v>
      </c>
    </row>
    <row r="142" spans="1:31" s="38" customFormat="1">
      <c r="A142" s="183" t="s">
        <v>424</v>
      </c>
      <c r="B142" s="183" t="s">
        <v>425</v>
      </c>
      <c r="C142" s="181">
        <v>82.11</v>
      </c>
      <c r="D142" s="181">
        <v>83.79</v>
      </c>
      <c r="E142" s="181"/>
      <c r="F142" s="182">
        <v>0</v>
      </c>
      <c r="G142" s="182">
        <v>0</v>
      </c>
      <c r="H142" s="182">
        <v>0</v>
      </c>
      <c r="I142" s="182">
        <v>0</v>
      </c>
      <c r="J142" s="182">
        <v>0</v>
      </c>
      <c r="K142" s="182">
        <v>0</v>
      </c>
      <c r="L142" s="182">
        <v>0</v>
      </c>
      <c r="M142" s="182">
        <v>83.79</v>
      </c>
      <c r="N142" s="182">
        <v>83.79</v>
      </c>
      <c r="O142" s="182">
        <v>251.37</v>
      </c>
      <c r="P142" s="178">
        <f t="shared" si="14"/>
        <v>418.95000000000005</v>
      </c>
      <c r="Q142" s="167"/>
      <c r="R142" s="182">
        <f t="shared" si="22"/>
        <v>0</v>
      </c>
      <c r="S142" s="182">
        <f t="shared" si="22"/>
        <v>0</v>
      </c>
      <c r="T142" s="182">
        <f t="shared" si="22"/>
        <v>0</v>
      </c>
      <c r="U142" s="182">
        <f t="shared" si="23"/>
        <v>0</v>
      </c>
      <c r="V142" s="182">
        <f t="shared" si="23"/>
        <v>0</v>
      </c>
      <c r="W142" s="182">
        <f t="shared" si="23"/>
        <v>0</v>
      </c>
      <c r="X142" s="182">
        <f t="shared" si="23"/>
        <v>0</v>
      </c>
      <c r="Y142" s="182">
        <f t="shared" si="23"/>
        <v>1</v>
      </c>
      <c r="Z142" s="182">
        <f t="shared" si="23"/>
        <v>1</v>
      </c>
      <c r="AA142" s="182">
        <f t="shared" si="23"/>
        <v>3</v>
      </c>
      <c r="AB142" s="184">
        <f t="shared" si="19"/>
        <v>5</v>
      </c>
      <c r="AC142" s="182">
        <f t="shared" si="17"/>
        <v>0.41666666666666669</v>
      </c>
      <c r="AD142" s="185">
        <f>AC142*3</f>
        <v>1.25</v>
      </c>
      <c r="AE142" s="178">
        <f t="shared" si="18"/>
        <v>83.79</v>
      </c>
    </row>
    <row r="143" spans="1:31" s="38" customFormat="1">
      <c r="A143" s="183" t="s">
        <v>426</v>
      </c>
      <c r="B143" s="183" t="s">
        <v>427</v>
      </c>
      <c r="C143" s="181">
        <v>39.36</v>
      </c>
      <c r="D143" s="181">
        <v>40.18</v>
      </c>
      <c r="E143" s="181"/>
      <c r="F143" s="182">
        <v>236.16</v>
      </c>
      <c r="G143" s="182">
        <v>275.52</v>
      </c>
      <c r="H143" s="182">
        <v>295.2</v>
      </c>
      <c r="I143" s="182">
        <v>301.35000000000002</v>
      </c>
      <c r="J143" s="182">
        <v>281.26</v>
      </c>
      <c r="K143" s="182">
        <v>311.39999999999998</v>
      </c>
      <c r="L143" s="182">
        <v>321.44</v>
      </c>
      <c r="M143" s="182">
        <v>321.44</v>
      </c>
      <c r="N143" s="182">
        <v>251.13</v>
      </c>
      <c r="O143" s="182">
        <v>863.87</v>
      </c>
      <c r="P143" s="178">
        <f t="shared" si="14"/>
        <v>3458.77</v>
      </c>
      <c r="Q143" s="167"/>
      <c r="R143" s="182">
        <f t="shared" si="22"/>
        <v>6</v>
      </c>
      <c r="S143" s="182">
        <f t="shared" si="22"/>
        <v>7</v>
      </c>
      <c r="T143" s="182">
        <f t="shared" si="22"/>
        <v>7.5</v>
      </c>
      <c r="U143" s="182">
        <f t="shared" si="23"/>
        <v>7.5000000000000009</v>
      </c>
      <c r="V143" s="182">
        <f t="shared" si="23"/>
        <v>7</v>
      </c>
      <c r="W143" s="182">
        <f t="shared" si="23"/>
        <v>7.7501244400199099</v>
      </c>
      <c r="X143" s="182">
        <f t="shared" si="23"/>
        <v>8</v>
      </c>
      <c r="Y143" s="182">
        <f t="shared" si="23"/>
        <v>8</v>
      </c>
      <c r="Z143" s="182">
        <f t="shared" si="23"/>
        <v>6.2501244400199107</v>
      </c>
      <c r="AA143" s="182">
        <f t="shared" si="23"/>
        <v>21.5</v>
      </c>
      <c r="AB143" s="184">
        <f t="shared" si="19"/>
        <v>86.50024888003982</v>
      </c>
      <c r="AC143" s="182">
        <f t="shared" si="17"/>
        <v>7.2083540733366513</v>
      </c>
      <c r="AD143" s="185">
        <f t="shared" si="20"/>
        <v>7.2083540733366513</v>
      </c>
      <c r="AE143" s="178">
        <f t="shared" si="18"/>
        <v>39.985665299029229</v>
      </c>
    </row>
    <row r="144" spans="1:31" s="38" customFormat="1">
      <c r="A144" s="183" t="s">
        <v>428</v>
      </c>
      <c r="B144" s="183" t="s">
        <v>429</v>
      </c>
      <c r="C144" s="181">
        <v>39.36</v>
      </c>
      <c r="D144" s="181">
        <v>40.18</v>
      </c>
      <c r="E144" s="181"/>
      <c r="F144" s="182">
        <v>39.36</v>
      </c>
      <c r="G144" s="182">
        <v>39.36</v>
      </c>
      <c r="H144" s="182">
        <v>39.36</v>
      </c>
      <c r="I144" s="182">
        <v>40.18</v>
      </c>
      <c r="J144" s="182">
        <v>40.18</v>
      </c>
      <c r="K144" s="182">
        <v>40.18</v>
      </c>
      <c r="L144" s="182">
        <v>40.18</v>
      </c>
      <c r="M144" s="182">
        <v>40.18</v>
      </c>
      <c r="N144" s="182">
        <v>40.18</v>
      </c>
      <c r="O144" s="182">
        <v>120.54</v>
      </c>
      <c r="P144" s="178">
        <f t="shared" si="14"/>
        <v>479.70000000000005</v>
      </c>
      <c r="Q144" s="167"/>
      <c r="R144" s="182">
        <f t="shared" si="22"/>
        <v>1</v>
      </c>
      <c r="S144" s="182">
        <f t="shared" si="22"/>
        <v>1</v>
      </c>
      <c r="T144" s="182">
        <f t="shared" si="22"/>
        <v>1</v>
      </c>
      <c r="U144" s="182">
        <f t="shared" si="23"/>
        <v>1</v>
      </c>
      <c r="V144" s="182">
        <f t="shared" si="23"/>
        <v>1</v>
      </c>
      <c r="W144" s="182">
        <f t="shared" si="23"/>
        <v>1</v>
      </c>
      <c r="X144" s="182">
        <f t="shared" si="23"/>
        <v>1</v>
      </c>
      <c r="Y144" s="182">
        <f t="shared" si="23"/>
        <v>1</v>
      </c>
      <c r="Z144" s="182">
        <f t="shared" si="23"/>
        <v>1</v>
      </c>
      <c r="AA144" s="182">
        <f t="shared" si="23"/>
        <v>3</v>
      </c>
      <c r="AB144" s="184">
        <f t="shared" si="19"/>
        <v>12</v>
      </c>
      <c r="AC144" s="182">
        <f t="shared" si="17"/>
        <v>1</v>
      </c>
      <c r="AD144" s="185">
        <f t="shared" si="20"/>
        <v>1</v>
      </c>
      <c r="AE144" s="178">
        <f t="shared" si="18"/>
        <v>39.975000000000001</v>
      </c>
    </row>
    <row r="145" spans="1:31" s="40" customFormat="1">
      <c r="A145" s="183" t="s">
        <v>430</v>
      </c>
      <c r="B145" s="183" t="s">
        <v>431</v>
      </c>
      <c r="C145" s="181">
        <v>39.36</v>
      </c>
      <c r="D145" s="181">
        <v>40.18</v>
      </c>
      <c r="E145" s="192"/>
      <c r="F145" s="182">
        <v>236.16</v>
      </c>
      <c r="G145" s="182">
        <v>236.16</v>
      </c>
      <c r="H145" s="182">
        <v>236.16</v>
      </c>
      <c r="I145" s="182">
        <v>241.07999999999998</v>
      </c>
      <c r="J145" s="182">
        <v>241.07999999999998</v>
      </c>
      <c r="K145" s="182">
        <v>241.07999999999998</v>
      </c>
      <c r="L145" s="182">
        <v>241.07999999999998</v>
      </c>
      <c r="M145" s="182">
        <v>241.07999999999998</v>
      </c>
      <c r="N145" s="182">
        <v>241.07999999999998</v>
      </c>
      <c r="O145" s="182">
        <v>650.91999999999996</v>
      </c>
      <c r="P145" s="178">
        <f t="shared" si="14"/>
        <v>2805.8799999999997</v>
      </c>
      <c r="Q145" s="193"/>
      <c r="R145" s="182">
        <f t="shared" si="22"/>
        <v>6</v>
      </c>
      <c r="S145" s="182">
        <f t="shared" si="22"/>
        <v>6</v>
      </c>
      <c r="T145" s="182">
        <f t="shared" si="22"/>
        <v>6</v>
      </c>
      <c r="U145" s="182">
        <f t="shared" si="23"/>
        <v>6</v>
      </c>
      <c r="V145" s="182">
        <f t="shared" si="23"/>
        <v>6</v>
      </c>
      <c r="W145" s="182">
        <f t="shared" si="23"/>
        <v>6</v>
      </c>
      <c r="X145" s="182">
        <f t="shared" si="23"/>
        <v>6</v>
      </c>
      <c r="Y145" s="182">
        <f t="shared" si="23"/>
        <v>6</v>
      </c>
      <c r="Z145" s="182">
        <f t="shared" si="23"/>
        <v>6</v>
      </c>
      <c r="AA145" s="182">
        <f t="shared" si="23"/>
        <v>16.200099552015928</v>
      </c>
      <c r="AB145" s="184">
        <f t="shared" si="19"/>
        <v>70.200099552015928</v>
      </c>
      <c r="AC145" s="182">
        <f t="shared" si="17"/>
        <v>5.8500082960013273</v>
      </c>
      <c r="AD145" s="185">
        <f t="shared" si="20"/>
        <v>5.8500082960013273</v>
      </c>
      <c r="AE145" s="178">
        <f t="shared" si="18"/>
        <v>39.96974388791196</v>
      </c>
    </row>
    <row r="146" spans="1:31" s="40" customFormat="1">
      <c r="A146" s="183" t="s">
        <v>432</v>
      </c>
      <c r="B146" s="183" t="s">
        <v>433</v>
      </c>
      <c r="C146" s="181">
        <v>78.72</v>
      </c>
      <c r="D146" s="181">
        <v>80.36</v>
      </c>
      <c r="E146" s="192"/>
      <c r="F146" s="182">
        <v>157.44</v>
      </c>
      <c r="G146" s="182">
        <v>157.44</v>
      </c>
      <c r="H146" s="182">
        <v>157.44</v>
      </c>
      <c r="I146" s="182">
        <v>160.72</v>
      </c>
      <c r="J146" s="182">
        <v>160.72</v>
      </c>
      <c r="K146" s="182">
        <v>40.18</v>
      </c>
      <c r="L146" s="182">
        <v>80.36</v>
      </c>
      <c r="M146" s="182">
        <v>80.36</v>
      </c>
      <c r="N146" s="182">
        <v>80.36</v>
      </c>
      <c r="O146" s="182">
        <v>241.08</v>
      </c>
      <c r="P146" s="178">
        <f t="shared" si="14"/>
        <v>1316.1</v>
      </c>
      <c r="Q146" s="193"/>
      <c r="R146" s="182">
        <f t="shared" si="22"/>
        <v>2</v>
      </c>
      <c r="S146" s="182">
        <f t="shared" si="22"/>
        <v>2</v>
      </c>
      <c r="T146" s="182">
        <f t="shared" si="22"/>
        <v>2</v>
      </c>
      <c r="U146" s="182">
        <f t="shared" si="23"/>
        <v>2</v>
      </c>
      <c r="V146" s="182">
        <f t="shared" si="23"/>
        <v>2</v>
      </c>
      <c r="W146" s="182">
        <f t="shared" si="23"/>
        <v>0.5</v>
      </c>
      <c r="X146" s="182">
        <f t="shared" si="23"/>
        <v>1</v>
      </c>
      <c r="Y146" s="182">
        <f t="shared" si="23"/>
        <v>1</v>
      </c>
      <c r="Z146" s="182">
        <f t="shared" si="23"/>
        <v>1</v>
      </c>
      <c r="AA146" s="182">
        <f t="shared" si="23"/>
        <v>3</v>
      </c>
      <c r="AB146" s="184">
        <f t="shared" si="19"/>
        <v>16.5</v>
      </c>
      <c r="AC146" s="182">
        <f t="shared" si="17"/>
        <v>1.375</v>
      </c>
      <c r="AD146" s="185">
        <f>AC146*2</f>
        <v>2.75</v>
      </c>
      <c r="AE146" s="178">
        <f t="shared" si="18"/>
        <v>79.763636363636351</v>
      </c>
    </row>
    <row r="147" spans="1:31" s="38" customFormat="1">
      <c r="A147" s="183" t="s">
        <v>434</v>
      </c>
      <c r="B147" s="183" t="s">
        <v>435</v>
      </c>
      <c r="C147" s="181">
        <v>78.72</v>
      </c>
      <c r="D147" s="181">
        <v>80.36</v>
      </c>
      <c r="E147" s="181"/>
      <c r="F147" s="182">
        <v>78.72</v>
      </c>
      <c r="G147" s="182">
        <v>78.72</v>
      </c>
      <c r="H147" s="182">
        <v>78.72</v>
      </c>
      <c r="I147" s="182">
        <v>80.36</v>
      </c>
      <c r="J147" s="182">
        <v>80.36</v>
      </c>
      <c r="K147" s="182">
        <v>80.36</v>
      </c>
      <c r="L147" s="182">
        <v>80.36</v>
      </c>
      <c r="M147" s="182">
        <v>80.36</v>
      </c>
      <c r="N147" s="182">
        <v>80.36</v>
      </c>
      <c r="O147" s="182">
        <v>241.08</v>
      </c>
      <c r="P147" s="178">
        <f t="shared" si="14"/>
        <v>959.40000000000009</v>
      </c>
      <c r="Q147" s="167"/>
      <c r="R147" s="182">
        <f t="shared" si="22"/>
        <v>1</v>
      </c>
      <c r="S147" s="182">
        <f t="shared" si="22"/>
        <v>1</v>
      </c>
      <c r="T147" s="182">
        <f t="shared" si="22"/>
        <v>1</v>
      </c>
      <c r="U147" s="182">
        <f t="shared" si="23"/>
        <v>1</v>
      </c>
      <c r="V147" s="182">
        <f t="shared" si="23"/>
        <v>1</v>
      </c>
      <c r="W147" s="182">
        <f t="shared" si="23"/>
        <v>1</v>
      </c>
      <c r="X147" s="182">
        <f t="shared" si="23"/>
        <v>1</v>
      </c>
      <c r="Y147" s="182">
        <f t="shared" si="23"/>
        <v>1</v>
      </c>
      <c r="Z147" s="182">
        <f t="shared" si="23"/>
        <v>1</v>
      </c>
      <c r="AA147" s="182">
        <f t="shared" si="23"/>
        <v>3</v>
      </c>
      <c r="AB147" s="184">
        <f t="shared" si="19"/>
        <v>12</v>
      </c>
      <c r="AC147" s="182">
        <f t="shared" si="17"/>
        <v>1</v>
      </c>
      <c r="AD147" s="185">
        <f>AC147*2</f>
        <v>2</v>
      </c>
      <c r="AE147" s="178">
        <f t="shared" si="18"/>
        <v>79.95</v>
      </c>
    </row>
    <row r="148" spans="1:31" s="38" customFormat="1">
      <c r="A148" s="183" t="s">
        <v>436</v>
      </c>
      <c r="B148" s="183" t="s">
        <v>437</v>
      </c>
      <c r="C148" s="181">
        <v>19.73</v>
      </c>
      <c r="D148" s="181">
        <v>20.14</v>
      </c>
      <c r="E148" s="181"/>
      <c r="F148" s="182">
        <v>39.46</v>
      </c>
      <c r="G148" s="182">
        <v>39.46</v>
      </c>
      <c r="H148" s="182">
        <v>39.46</v>
      </c>
      <c r="I148" s="182">
        <v>50.35</v>
      </c>
      <c r="J148" s="182">
        <v>60.42</v>
      </c>
      <c r="K148" s="182">
        <v>60.42</v>
      </c>
      <c r="L148" s="182">
        <v>50.35</v>
      </c>
      <c r="M148" s="182">
        <v>60.42</v>
      </c>
      <c r="N148" s="182">
        <v>60.42</v>
      </c>
      <c r="O148" s="182">
        <v>140.98000000000002</v>
      </c>
      <c r="P148" s="178">
        <f t="shared" si="14"/>
        <v>601.74</v>
      </c>
      <c r="Q148" s="167"/>
      <c r="R148" s="182">
        <f t="shared" si="22"/>
        <v>2</v>
      </c>
      <c r="S148" s="182">
        <f t="shared" si="22"/>
        <v>2</v>
      </c>
      <c r="T148" s="182">
        <f t="shared" si="22"/>
        <v>2</v>
      </c>
      <c r="U148" s="182">
        <f t="shared" si="23"/>
        <v>2.5</v>
      </c>
      <c r="V148" s="182">
        <f t="shared" si="23"/>
        <v>3</v>
      </c>
      <c r="W148" s="182">
        <f t="shared" si="23"/>
        <v>3</v>
      </c>
      <c r="X148" s="182">
        <f t="shared" si="23"/>
        <v>2.5</v>
      </c>
      <c r="Y148" s="182">
        <f t="shared" si="23"/>
        <v>3</v>
      </c>
      <c r="Z148" s="182">
        <f t="shared" si="23"/>
        <v>3</v>
      </c>
      <c r="AA148" s="182">
        <f t="shared" si="23"/>
        <v>7.0000000000000009</v>
      </c>
      <c r="AB148" s="184">
        <f t="shared" si="19"/>
        <v>30</v>
      </c>
      <c r="AC148" s="182">
        <f t="shared" si="17"/>
        <v>2.5</v>
      </c>
      <c r="AD148" s="185">
        <f t="shared" si="20"/>
        <v>2.5</v>
      </c>
      <c r="AE148" s="178">
        <f t="shared" si="18"/>
        <v>20.058</v>
      </c>
    </row>
    <row r="149" spans="1:31" s="38" customFormat="1">
      <c r="A149" s="183" t="s">
        <v>438</v>
      </c>
      <c r="B149" s="183" t="s">
        <v>439</v>
      </c>
      <c r="C149" s="181">
        <v>19.73</v>
      </c>
      <c r="D149" s="181">
        <v>20.14</v>
      </c>
      <c r="E149" s="181"/>
      <c r="F149" s="182">
        <v>98.65</v>
      </c>
      <c r="G149" s="182">
        <v>98.65</v>
      </c>
      <c r="H149" s="182">
        <v>98.65</v>
      </c>
      <c r="I149" s="182">
        <v>100.7</v>
      </c>
      <c r="J149" s="182">
        <v>100.7</v>
      </c>
      <c r="K149" s="182">
        <v>100.7</v>
      </c>
      <c r="L149" s="182">
        <v>100.7</v>
      </c>
      <c r="M149" s="182">
        <v>100.7</v>
      </c>
      <c r="N149" s="182">
        <v>100.7</v>
      </c>
      <c r="O149" s="182">
        <v>302.10000000000002</v>
      </c>
      <c r="P149" s="178">
        <f t="shared" si="14"/>
        <v>1202.2500000000002</v>
      </c>
      <c r="Q149" s="167"/>
      <c r="R149" s="182">
        <f t="shared" si="22"/>
        <v>5</v>
      </c>
      <c r="S149" s="182">
        <f t="shared" si="22"/>
        <v>5</v>
      </c>
      <c r="T149" s="182">
        <f t="shared" si="22"/>
        <v>5</v>
      </c>
      <c r="U149" s="182">
        <f t="shared" si="23"/>
        <v>5</v>
      </c>
      <c r="V149" s="182">
        <f t="shared" si="23"/>
        <v>5</v>
      </c>
      <c r="W149" s="182">
        <f t="shared" si="23"/>
        <v>5</v>
      </c>
      <c r="X149" s="182">
        <f t="shared" si="23"/>
        <v>5</v>
      </c>
      <c r="Y149" s="182">
        <f t="shared" si="23"/>
        <v>5</v>
      </c>
      <c r="Z149" s="182">
        <f t="shared" si="23"/>
        <v>5</v>
      </c>
      <c r="AA149" s="182">
        <f t="shared" si="23"/>
        <v>15</v>
      </c>
      <c r="AB149" s="184">
        <f t="shared" si="19"/>
        <v>60</v>
      </c>
      <c r="AC149" s="182">
        <f t="shared" si="17"/>
        <v>5</v>
      </c>
      <c r="AD149" s="185">
        <f t="shared" si="20"/>
        <v>5</v>
      </c>
      <c r="AE149" s="178">
        <f t="shared" si="18"/>
        <v>20.037500000000005</v>
      </c>
    </row>
    <row r="150" spans="1:31" s="38" customFormat="1">
      <c r="A150" s="183" t="s">
        <v>440</v>
      </c>
      <c r="B150" s="183" t="s">
        <v>94</v>
      </c>
      <c r="C150" s="181">
        <v>28.56</v>
      </c>
      <c r="D150" s="181">
        <v>29.05</v>
      </c>
      <c r="E150" s="181"/>
      <c r="F150" s="182">
        <v>28.56</v>
      </c>
      <c r="G150" s="182">
        <v>0</v>
      </c>
      <c r="H150" s="182">
        <v>0</v>
      </c>
      <c r="I150" s="182">
        <v>0</v>
      </c>
      <c r="J150" s="182">
        <v>29.05</v>
      </c>
      <c r="K150" s="182">
        <v>0</v>
      </c>
      <c r="L150" s="182">
        <v>0</v>
      </c>
      <c r="M150" s="182">
        <v>116.2</v>
      </c>
      <c r="N150" s="182">
        <v>58.1</v>
      </c>
      <c r="O150" s="182">
        <v>58.1</v>
      </c>
      <c r="P150" s="178">
        <f t="shared" si="14"/>
        <v>290.01</v>
      </c>
      <c r="Q150" s="167"/>
      <c r="R150" s="182">
        <f t="shared" si="22"/>
        <v>1</v>
      </c>
      <c r="S150" s="182">
        <f t="shared" si="22"/>
        <v>0</v>
      </c>
      <c r="T150" s="182">
        <f t="shared" si="22"/>
        <v>0</v>
      </c>
      <c r="U150" s="182">
        <f t="shared" si="23"/>
        <v>0</v>
      </c>
      <c r="V150" s="182">
        <f t="shared" si="23"/>
        <v>1</v>
      </c>
      <c r="W150" s="182">
        <f t="shared" si="23"/>
        <v>0</v>
      </c>
      <c r="X150" s="182">
        <f t="shared" si="23"/>
        <v>0</v>
      </c>
      <c r="Y150" s="182">
        <f t="shared" si="23"/>
        <v>4</v>
      </c>
      <c r="Z150" s="182">
        <f t="shared" si="23"/>
        <v>2</v>
      </c>
      <c r="AA150" s="182">
        <f t="shared" si="23"/>
        <v>2</v>
      </c>
      <c r="AB150" s="184">
        <f t="shared" si="19"/>
        <v>10</v>
      </c>
      <c r="AC150" s="182">
        <f t="shared" si="17"/>
        <v>0.83333333333333337</v>
      </c>
      <c r="AD150" s="167"/>
      <c r="AE150" s="178">
        <f t="shared" si="18"/>
        <v>29.000999999999998</v>
      </c>
    </row>
    <row r="151" spans="1:31" s="38" customFormat="1">
      <c r="A151" s="183" t="s">
        <v>441</v>
      </c>
      <c r="B151" s="183" t="s">
        <v>442</v>
      </c>
      <c r="C151" s="181">
        <v>40.46</v>
      </c>
      <c r="D151" s="181">
        <v>41.16</v>
      </c>
      <c r="E151" s="181"/>
      <c r="F151" s="182">
        <v>0</v>
      </c>
      <c r="G151" s="182">
        <v>0</v>
      </c>
      <c r="H151" s="182">
        <v>0</v>
      </c>
      <c r="I151" s="182">
        <v>0</v>
      </c>
      <c r="J151" s="182">
        <v>0</v>
      </c>
      <c r="K151" s="182">
        <v>0</v>
      </c>
      <c r="L151" s="182">
        <v>41.16</v>
      </c>
      <c r="M151" s="182">
        <v>41.16</v>
      </c>
      <c r="N151" s="182">
        <v>123.48</v>
      </c>
      <c r="O151" s="182">
        <v>535.08000000000004</v>
      </c>
      <c r="P151" s="178">
        <f t="shared" si="14"/>
        <v>740.88000000000011</v>
      </c>
      <c r="Q151" s="167"/>
      <c r="R151" s="182">
        <f t="shared" si="22"/>
        <v>0</v>
      </c>
      <c r="S151" s="182">
        <f t="shared" si="22"/>
        <v>0</v>
      </c>
      <c r="T151" s="182">
        <f t="shared" si="22"/>
        <v>0</v>
      </c>
      <c r="U151" s="182">
        <f t="shared" si="23"/>
        <v>0</v>
      </c>
      <c r="V151" s="182">
        <f t="shared" si="23"/>
        <v>0</v>
      </c>
      <c r="W151" s="182">
        <f t="shared" si="23"/>
        <v>0</v>
      </c>
      <c r="X151" s="182">
        <f t="shared" si="23"/>
        <v>1</v>
      </c>
      <c r="Y151" s="182">
        <f t="shared" si="23"/>
        <v>1</v>
      </c>
      <c r="Z151" s="182">
        <f t="shared" si="23"/>
        <v>3.0000000000000004</v>
      </c>
      <c r="AA151" s="182">
        <f t="shared" si="23"/>
        <v>13.000000000000002</v>
      </c>
      <c r="AB151" s="184">
        <f t="shared" si="19"/>
        <v>18</v>
      </c>
      <c r="AC151" s="182">
        <f t="shared" si="17"/>
        <v>1.5</v>
      </c>
      <c r="AD151" s="167"/>
      <c r="AE151" s="178">
        <f t="shared" si="18"/>
        <v>41.160000000000004</v>
      </c>
    </row>
    <row r="152" spans="1:31" s="38" customFormat="1">
      <c r="A152" s="183" t="s">
        <v>443</v>
      </c>
      <c r="B152" s="183" t="s">
        <v>444</v>
      </c>
      <c r="C152" s="181">
        <v>52.05</v>
      </c>
      <c r="D152" s="181">
        <v>52.96</v>
      </c>
      <c r="E152" s="181"/>
      <c r="F152" s="182">
        <v>156.15</v>
      </c>
      <c r="G152" s="182">
        <v>0</v>
      </c>
      <c r="H152" s="182">
        <v>156.14999999999998</v>
      </c>
      <c r="I152" s="182">
        <v>210.93</v>
      </c>
      <c r="J152" s="182">
        <v>211.84</v>
      </c>
      <c r="K152" s="182">
        <v>0</v>
      </c>
      <c r="L152" s="182">
        <v>211.84</v>
      </c>
      <c r="M152" s="182">
        <v>52.96</v>
      </c>
      <c r="N152" s="182">
        <v>264.8</v>
      </c>
      <c r="O152" s="182">
        <v>1588.8</v>
      </c>
      <c r="P152" s="178">
        <f t="shared" si="14"/>
        <v>2853.4700000000003</v>
      </c>
      <c r="Q152" s="167"/>
      <c r="R152" s="182">
        <f t="shared" si="22"/>
        <v>3.0000000000000004</v>
      </c>
      <c r="S152" s="182">
        <f t="shared" si="22"/>
        <v>0</v>
      </c>
      <c r="T152" s="182">
        <f t="shared" si="22"/>
        <v>2.9999999999999996</v>
      </c>
      <c r="U152" s="182">
        <f t="shared" si="23"/>
        <v>3.9828172205438066</v>
      </c>
      <c r="V152" s="182">
        <f t="shared" si="23"/>
        <v>4</v>
      </c>
      <c r="W152" s="182">
        <f t="shared" si="23"/>
        <v>0</v>
      </c>
      <c r="X152" s="182">
        <f t="shared" si="23"/>
        <v>4</v>
      </c>
      <c r="Y152" s="182">
        <f t="shared" si="23"/>
        <v>1</v>
      </c>
      <c r="Z152" s="182">
        <f t="shared" si="23"/>
        <v>5</v>
      </c>
      <c r="AA152" s="182">
        <f t="shared" si="23"/>
        <v>30</v>
      </c>
      <c r="AB152" s="184">
        <f t="shared" si="19"/>
        <v>53.982817220543808</v>
      </c>
      <c r="AC152" s="182">
        <f t="shared" si="17"/>
        <v>4.4985681017119843</v>
      </c>
      <c r="AD152" s="167"/>
      <c r="AE152" s="178">
        <f t="shared" si="18"/>
        <v>52.858856705130947</v>
      </c>
    </row>
    <row r="153" spans="1:31" s="38" customFormat="1">
      <c r="A153" s="183" t="s">
        <v>445</v>
      </c>
      <c r="B153" s="183" t="s">
        <v>446</v>
      </c>
      <c r="C153" s="181">
        <v>52.05</v>
      </c>
      <c r="D153" s="181">
        <v>52.96</v>
      </c>
      <c r="E153" s="181"/>
      <c r="F153" s="182">
        <v>0</v>
      </c>
      <c r="G153" s="182">
        <v>0</v>
      </c>
      <c r="H153" s="182">
        <v>0</v>
      </c>
      <c r="I153" s="182">
        <v>0</v>
      </c>
      <c r="J153" s="182">
        <v>0</v>
      </c>
      <c r="K153" s="182">
        <v>0</v>
      </c>
      <c r="L153" s="182">
        <v>0</v>
      </c>
      <c r="M153" s="182">
        <v>0</v>
      </c>
      <c r="N153" s="182">
        <v>0</v>
      </c>
      <c r="O153" s="182">
        <v>0</v>
      </c>
      <c r="P153" s="178">
        <f t="shared" si="14"/>
        <v>0</v>
      </c>
      <c r="Q153" s="167"/>
      <c r="R153" s="182">
        <f t="shared" si="22"/>
        <v>0</v>
      </c>
      <c r="S153" s="182">
        <f t="shared" si="22"/>
        <v>0</v>
      </c>
      <c r="T153" s="182">
        <f t="shared" si="22"/>
        <v>0</v>
      </c>
      <c r="U153" s="182">
        <f t="shared" si="23"/>
        <v>0</v>
      </c>
      <c r="V153" s="182">
        <f t="shared" si="23"/>
        <v>0</v>
      </c>
      <c r="W153" s="182">
        <f t="shared" si="23"/>
        <v>0</v>
      </c>
      <c r="X153" s="182">
        <f t="shared" si="23"/>
        <v>0</v>
      </c>
      <c r="Y153" s="182">
        <f t="shared" si="23"/>
        <v>0</v>
      </c>
      <c r="Z153" s="182">
        <f t="shared" si="23"/>
        <v>0</v>
      </c>
      <c r="AA153" s="182">
        <f t="shared" si="23"/>
        <v>0</v>
      </c>
      <c r="AB153" s="184">
        <f t="shared" si="19"/>
        <v>0</v>
      </c>
      <c r="AC153" s="182">
        <f t="shared" si="17"/>
        <v>0</v>
      </c>
      <c r="AD153" s="167"/>
      <c r="AE153" s="178"/>
    </row>
    <row r="154" spans="1:31" s="38" customFormat="1">
      <c r="A154" s="183" t="s">
        <v>447</v>
      </c>
      <c r="B154" s="183" t="s">
        <v>95</v>
      </c>
      <c r="C154" s="181">
        <v>92.03</v>
      </c>
      <c r="D154" s="181">
        <v>0</v>
      </c>
      <c r="E154" s="181"/>
      <c r="F154" s="182">
        <v>0</v>
      </c>
      <c r="G154" s="182">
        <v>0</v>
      </c>
      <c r="H154" s="182">
        <v>0</v>
      </c>
      <c r="I154" s="182">
        <v>0</v>
      </c>
      <c r="J154" s="182">
        <v>0</v>
      </c>
      <c r="K154" s="182">
        <v>0</v>
      </c>
      <c r="L154" s="182">
        <v>0</v>
      </c>
      <c r="M154" s="182">
        <v>0</v>
      </c>
      <c r="N154" s="182">
        <v>0</v>
      </c>
      <c r="O154" s="182">
        <v>0</v>
      </c>
      <c r="P154" s="178">
        <f t="shared" si="14"/>
        <v>0</v>
      </c>
      <c r="Q154" s="167"/>
      <c r="R154" s="182">
        <f t="shared" si="22"/>
        <v>0</v>
      </c>
      <c r="S154" s="182">
        <f t="shared" si="22"/>
        <v>0</v>
      </c>
      <c r="T154" s="182">
        <f t="shared" si="22"/>
        <v>0</v>
      </c>
      <c r="U154" s="182">
        <f t="shared" si="23"/>
        <v>0</v>
      </c>
      <c r="V154" s="182">
        <f t="shared" si="23"/>
        <v>0</v>
      </c>
      <c r="W154" s="182">
        <f t="shared" si="23"/>
        <v>0</v>
      </c>
      <c r="X154" s="182">
        <f t="shared" si="23"/>
        <v>0</v>
      </c>
      <c r="Y154" s="182">
        <f t="shared" si="23"/>
        <v>0</v>
      </c>
      <c r="Z154" s="182">
        <f t="shared" si="23"/>
        <v>0</v>
      </c>
      <c r="AA154" s="182">
        <f t="shared" si="23"/>
        <v>0</v>
      </c>
      <c r="AB154" s="184">
        <f t="shared" si="19"/>
        <v>0</v>
      </c>
      <c r="AC154" s="182">
        <f t="shared" si="17"/>
        <v>0</v>
      </c>
      <c r="AD154" s="167"/>
      <c r="AE154" s="178"/>
    </row>
    <row r="155" spans="1:31" s="38" customFormat="1">
      <c r="A155" s="183" t="s">
        <v>448</v>
      </c>
      <c r="B155" s="183" t="s">
        <v>449</v>
      </c>
      <c r="C155" s="181">
        <v>92.03</v>
      </c>
      <c r="D155" s="181">
        <v>93.74</v>
      </c>
      <c r="E155" s="181"/>
      <c r="F155" s="182">
        <v>0</v>
      </c>
      <c r="G155" s="182">
        <v>0</v>
      </c>
      <c r="H155" s="182">
        <v>0</v>
      </c>
      <c r="I155" s="182">
        <v>0</v>
      </c>
      <c r="J155" s="182">
        <v>0</v>
      </c>
      <c r="K155" s="182">
        <v>0</v>
      </c>
      <c r="L155" s="182">
        <v>0</v>
      </c>
      <c r="M155" s="182">
        <v>0</v>
      </c>
      <c r="N155" s="182">
        <v>0</v>
      </c>
      <c r="O155" s="182">
        <v>187.48</v>
      </c>
      <c r="P155" s="178">
        <f t="shared" si="14"/>
        <v>187.48</v>
      </c>
      <c r="Q155" s="167"/>
      <c r="R155" s="182">
        <f t="shared" si="22"/>
        <v>0</v>
      </c>
      <c r="S155" s="182">
        <f t="shared" si="22"/>
        <v>0</v>
      </c>
      <c r="T155" s="182">
        <f t="shared" si="22"/>
        <v>0</v>
      </c>
      <c r="U155" s="182">
        <f t="shared" si="23"/>
        <v>0</v>
      </c>
      <c r="V155" s="182">
        <f t="shared" si="23"/>
        <v>0</v>
      </c>
      <c r="W155" s="182">
        <f t="shared" si="23"/>
        <v>0</v>
      </c>
      <c r="X155" s="182">
        <f t="shared" si="23"/>
        <v>0</v>
      </c>
      <c r="Y155" s="182">
        <f t="shared" si="23"/>
        <v>0</v>
      </c>
      <c r="Z155" s="182">
        <f t="shared" si="23"/>
        <v>0</v>
      </c>
      <c r="AA155" s="182">
        <f t="shared" si="23"/>
        <v>2</v>
      </c>
      <c r="AB155" s="184">
        <f t="shared" si="19"/>
        <v>2</v>
      </c>
      <c r="AC155" s="182">
        <f t="shared" si="17"/>
        <v>0.16666666666666666</v>
      </c>
      <c r="AD155" s="167"/>
      <c r="AE155" s="178">
        <f t="shared" si="18"/>
        <v>93.74</v>
      </c>
    </row>
    <row r="156" spans="1:31" s="38" customFormat="1">
      <c r="A156" s="183" t="s">
        <v>450</v>
      </c>
      <c r="B156" s="183" t="s">
        <v>451</v>
      </c>
      <c r="C156" s="181">
        <v>28.56</v>
      </c>
      <c r="D156" s="181">
        <v>29.05</v>
      </c>
      <c r="E156" s="181"/>
      <c r="F156" s="182">
        <v>57.12</v>
      </c>
      <c r="G156" s="182">
        <v>57.12</v>
      </c>
      <c r="H156" s="182">
        <v>57.12</v>
      </c>
      <c r="I156" s="182">
        <v>29.05</v>
      </c>
      <c r="J156" s="182">
        <v>87.15</v>
      </c>
      <c r="K156" s="182">
        <v>87.15</v>
      </c>
      <c r="L156" s="182">
        <v>116.2</v>
      </c>
      <c r="M156" s="182">
        <v>203.35000000000002</v>
      </c>
      <c r="N156" s="182">
        <v>87.15</v>
      </c>
      <c r="O156" s="182">
        <v>348.6</v>
      </c>
      <c r="P156" s="178">
        <f t="shared" si="14"/>
        <v>1130.01</v>
      </c>
      <c r="Q156" s="167"/>
      <c r="R156" s="182">
        <f t="shared" si="22"/>
        <v>2</v>
      </c>
      <c r="S156" s="182">
        <f t="shared" si="22"/>
        <v>2</v>
      </c>
      <c r="T156" s="182">
        <f t="shared" si="22"/>
        <v>2</v>
      </c>
      <c r="U156" s="182">
        <f t="shared" si="23"/>
        <v>1</v>
      </c>
      <c r="V156" s="182">
        <f t="shared" si="23"/>
        <v>3</v>
      </c>
      <c r="W156" s="182">
        <f t="shared" si="23"/>
        <v>3</v>
      </c>
      <c r="X156" s="182">
        <f t="shared" si="23"/>
        <v>4</v>
      </c>
      <c r="Y156" s="182">
        <f t="shared" si="23"/>
        <v>7.0000000000000009</v>
      </c>
      <c r="Z156" s="182">
        <f t="shared" si="23"/>
        <v>3</v>
      </c>
      <c r="AA156" s="182">
        <f t="shared" si="23"/>
        <v>12</v>
      </c>
      <c r="AB156" s="184">
        <f t="shared" si="19"/>
        <v>39</v>
      </c>
      <c r="AC156" s="182">
        <f t="shared" si="17"/>
        <v>3.25</v>
      </c>
      <c r="AD156" s="167"/>
      <c r="AE156" s="178">
        <f t="shared" si="18"/>
        <v>28.974615384615383</v>
      </c>
    </row>
    <row r="157" spans="1:31" s="38" customFormat="1">
      <c r="A157" s="183" t="s">
        <v>452</v>
      </c>
      <c r="B157" s="183" t="s">
        <v>453</v>
      </c>
      <c r="C157" s="181">
        <v>40.46</v>
      </c>
      <c r="D157" s="181">
        <v>41.16</v>
      </c>
      <c r="E157" s="181"/>
      <c r="F157" s="182">
        <v>0</v>
      </c>
      <c r="G157" s="182">
        <v>80.92</v>
      </c>
      <c r="H157" s="182">
        <v>0</v>
      </c>
      <c r="I157" s="182">
        <v>0</v>
      </c>
      <c r="J157" s="182">
        <v>0</v>
      </c>
      <c r="K157" s="182">
        <v>82.32</v>
      </c>
      <c r="L157" s="182">
        <v>164.64</v>
      </c>
      <c r="M157" s="182">
        <v>41.16</v>
      </c>
      <c r="N157" s="182">
        <v>123.47999999999999</v>
      </c>
      <c r="O157" s="182">
        <v>123.47999999999999</v>
      </c>
      <c r="P157" s="178">
        <f t="shared" si="14"/>
        <v>616</v>
      </c>
      <c r="Q157" s="167"/>
      <c r="R157" s="182">
        <f t="shared" si="22"/>
        <v>0</v>
      </c>
      <c r="S157" s="182">
        <f t="shared" si="22"/>
        <v>2</v>
      </c>
      <c r="T157" s="182">
        <f t="shared" si="22"/>
        <v>0</v>
      </c>
      <c r="U157" s="182">
        <f t="shared" ref="U157:AA167" si="24">IFERROR(I157/$D157,0)</f>
        <v>0</v>
      </c>
      <c r="V157" s="182">
        <f t="shared" si="24"/>
        <v>0</v>
      </c>
      <c r="W157" s="182">
        <f t="shared" si="24"/>
        <v>2</v>
      </c>
      <c r="X157" s="182">
        <f t="shared" si="24"/>
        <v>4</v>
      </c>
      <c r="Y157" s="182">
        <f t="shared" si="24"/>
        <v>1</v>
      </c>
      <c r="Z157" s="182">
        <f t="shared" si="24"/>
        <v>3</v>
      </c>
      <c r="AA157" s="182">
        <f t="shared" si="24"/>
        <v>3</v>
      </c>
      <c r="AB157" s="184">
        <f t="shared" si="19"/>
        <v>15</v>
      </c>
      <c r="AC157" s="182">
        <f t="shared" si="17"/>
        <v>1.25</v>
      </c>
      <c r="AD157" s="167"/>
      <c r="AE157" s="178">
        <f t="shared" si="18"/>
        <v>41.06666666666667</v>
      </c>
    </row>
    <row r="158" spans="1:31" s="38" customFormat="1">
      <c r="A158" s="183" t="s">
        <v>454</v>
      </c>
      <c r="B158" s="183" t="s">
        <v>455</v>
      </c>
      <c r="C158" s="181">
        <v>52.05</v>
      </c>
      <c r="D158" s="181">
        <v>52.96</v>
      </c>
      <c r="E158" s="181"/>
      <c r="F158" s="182">
        <v>156.14999999999998</v>
      </c>
      <c r="G158" s="182">
        <v>104.1</v>
      </c>
      <c r="H158" s="182">
        <v>156.14999999999998</v>
      </c>
      <c r="I158" s="182">
        <v>370.71999999999997</v>
      </c>
      <c r="J158" s="182">
        <v>105.92</v>
      </c>
      <c r="K158" s="182">
        <v>264.8</v>
      </c>
      <c r="L158" s="182">
        <v>582.55999999999995</v>
      </c>
      <c r="M158" s="182">
        <v>688.48</v>
      </c>
      <c r="N158" s="182">
        <v>317.76</v>
      </c>
      <c r="O158" s="182">
        <v>1218.08</v>
      </c>
      <c r="P158" s="178">
        <f t="shared" si="14"/>
        <v>3964.7200000000003</v>
      </c>
      <c r="Q158" s="167"/>
      <c r="R158" s="182">
        <f t="shared" si="22"/>
        <v>2.9999999999999996</v>
      </c>
      <c r="S158" s="182">
        <f t="shared" si="22"/>
        <v>2</v>
      </c>
      <c r="T158" s="182">
        <f t="shared" si="22"/>
        <v>2.9999999999999996</v>
      </c>
      <c r="U158" s="182">
        <f t="shared" si="24"/>
        <v>6.9999999999999991</v>
      </c>
      <c r="V158" s="182">
        <f t="shared" si="24"/>
        <v>2</v>
      </c>
      <c r="W158" s="182">
        <f t="shared" si="24"/>
        <v>5</v>
      </c>
      <c r="X158" s="182">
        <f t="shared" si="24"/>
        <v>10.999999999999998</v>
      </c>
      <c r="Y158" s="182">
        <f t="shared" si="24"/>
        <v>13</v>
      </c>
      <c r="Z158" s="182">
        <f t="shared" si="24"/>
        <v>6</v>
      </c>
      <c r="AA158" s="182">
        <f t="shared" si="24"/>
        <v>23</v>
      </c>
      <c r="AB158" s="184">
        <f t="shared" si="19"/>
        <v>75</v>
      </c>
      <c r="AC158" s="182">
        <f t="shared" si="17"/>
        <v>6.25</v>
      </c>
      <c r="AD158" s="167"/>
      <c r="AE158" s="178">
        <f t="shared" si="18"/>
        <v>52.862933333333338</v>
      </c>
    </row>
    <row r="159" spans="1:31" s="38" customFormat="1">
      <c r="A159" s="183" t="s">
        <v>456</v>
      </c>
      <c r="B159" s="183" t="s">
        <v>457</v>
      </c>
      <c r="C159" s="181">
        <v>69.84</v>
      </c>
      <c r="D159" s="181">
        <v>71.16</v>
      </c>
      <c r="E159" s="181"/>
      <c r="F159" s="182">
        <v>0</v>
      </c>
      <c r="G159" s="182">
        <v>0</v>
      </c>
      <c r="H159" s="182">
        <v>0</v>
      </c>
      <c r="I159" s="182">
        <v>0</v>
      </c>
      <c r="J159" s="182">
        <v>0</v>
      </c>
      <c r="K159" s="182">
        <v>71.16</v>
      </c>
      <c r="L159" s="182">
        <v>71.16</v>
      </c>
      <c r="M159" s="182">
        <v>71.16</v>
      </c>
      <c r="N159" s="182">
        <v>0</v>
      </c>
      <c r="O159" s="182">
        <v>498.12</v>
      </c>
      <c r="P159" s="178">
        <f t="shared" si="14"/>
        <v>711.6</v>
      </c>
      <c r="Q159" s="167"/>
      <c r="R159" s="182">
        <f t="shared" si="22"/>
        <v>0</v>
      </c>
      <c r="S159" s="182">
        <f t="shared" si="22"/>
        <v>0</v>
      </c>
      <c r="T159" s="182">
        <f t="shared" si="22"/>
        <v>0</v>
      </c>
      <c r="U159" s="182">
        <f t="shared" si="24"/>
        <v>0</v>
      </c>
      <c r="V159" s="182">
        <f t="shared" si="24"/>
        <v>0</v>
      </c>
      <c r="W159" s="182">
        <f t="shared" si="24"/>
        <v>1</v>
      </c>
      <c r="X159" s="182">
        <f t="shared" si="24"/>
        <v>1</v>
      </c>
      <c r="Y159" s="182">
        <f t="shared" si="24"/>
        <v>1</v>
      </c>
      <c r="Z159" s="182">
        <f t="shared" si="24"/>
        <v>0</v>
      </c>
      <c r="AA159" s="182">
        <f t="shared" si="24"/>
        <v>7</v>
      </c>
      <c r="AB159" s="184">
        <f t="shared" si="19"/>
        <v>10</v>
      </c>
      <c r="AC159" s="182">
        <f t="shared" si="17"/>
        <v>0.83333333333333337</v>
      </c>
      <c r="AD159" s="167"/>
      <c r="AE159" s="178">
        <f t="shared" si="18"/>
        <v>71.16</v>
      </c>
    </row>
    <row r="160" spans="1:31" s="38" customFormat="1">
      <c r="A160" s="183" t="s">
        <v>458</v>
      </c>
      <c r="B160" s="183" t="s">
        <v>459</v>
      </c>
      <c r="C160" s="181">
        <v>92.03</v>
      </c>
      <c r="D160" s="181">
        <v>93.74</v>
      </c>
      <c r="E160" s="181"/>
      <c r="F160" s="182">
        <v>0</v>
      </c>
      <c r="G160" s="182">
        <v>0</v>
      </c>
      <c r="H160" s="182">
        <v>92.03</v>
      </c>
      <c r="I160" s="182">
        <v>92.03</v>
      </c>
      <c r="J160" s="182">
        <v>0</v>
      </c>
      <c r="K160" s="182">
        <v>93.74</v>
      </c>
      <c r="L160" s="182">
        <v>281.21999999999997</v>
      </c>
      <c r="M160" s="182">
        <v>281.22000000000003</v>
      </c>
      <c r="N160" s="182">
        <v>187.48</v>
      </c>
      <c r="O160" s="182">
        <v>656.18</v>
      </c>
      <c r="P160" s="178">
        <f t="shared" si="14"/>
        <v>1683.9</v>
      </c>
      <c r="Q160" s="167"/>
      <c r="R160" s="182">
        <f t="shared" si="22"/>
        <v>0</v>
      </c>
      <c r="S160" s="182">
        <f t="shared" si="22"/>
        <v>0</v>
      </c>
      <c r="T160" s="182">
        <f t="shared" si="22"/>
        <v>1</v>
      </c>
      <c r="U160" s="182">
        <f t="shared" si="24"/>
        <v>0.98175805419244722</v>
      </c>
      <c r="V160" s="182">
        <f t="shared" si="24"/>
        <v>0</v>
      </c>
      <c r="W160" s="182">
        <f t="shared" si="24"/>
        <v>1</v>
      </c>
      <c r="X160" s="182">
        <f t="shared" si="24"/>
        <v>3</v>
      </c>
      <c r="Y160" s="182">
        <f t="shared" si="24"/>
        <v>3.0000000000000004</v>
      </c>
      <c r="Z160" s="182">
        <f t="shared" si="24"/>
        <v>2</v>
      </c>
      <c r="AA160" s="182">
        <f t="shared" si="24"/>
        <v>7</v>
      </c>
      <c r="AB160" s="184">
        <f t="shared" si="19"/>
        <v>17.981758054192447</v>
      </c>
      <c r="AC160" s="182">
        <f t="shared" si="17"/>
        <v>1.4984798378493707</v>
      </c>
      <c r="AD160" s="167"/>
      <c r="AE160" s="178">
        <f t="shared" si="18"/>
        <v>93.644903625393781</v>
      </c>
    </row>
    <row r="161" spans="1:31" s="38" customFormat="1">
      <c r="A161" s="183" t="s">
        <v>460</v>
      </c>
      <c r="B161" s="183" t="s">
        <v>461</v>
      </c>
      <c r="C161" s="181">
        <v>119.61</v>
      </c>
      <c r="D161" s="181">
        <v>121.96</v>
      </c>
      <c r="E161" s="181"/>
      <c r="F161" s="182">
        <v>119.61</v>
      </c>
      <c r="G161" s="182">
        <v>0</v>
      </c>
      <c r="H161" s="182">
        <v>0</v>
      </c>
      <c r="I161" s="182">
        <v>121.96</v>
      </c>
      <c r="J161" s="182">
        <v>0</v>
      </c>
      <c r="K161" s="182">
        <v>0</v>
      </c>
      <c r="L161" s="182">
        <v>0</v>
      </c>
      <c r="M161" s="182">
        <v>0</v>
      </c>
      <c r="N161" s="182">
        <v>243.92</v>
      </c>
      <c r="O161" s="182">
        <v>487.84</v>
      </c>
      <c r="P161" s="178">
        <f t="shared" si="14"/>
        <v>973.32999999999993</v>
      </c>
      <c r="Q161" s="167"/>
      <c r="R161" s="182">
        <f t="shared" si="22"/>
        <v>1</v>
      </c>
      <c r="S161" s="182">
        <f t="shared" si="22"/>
        <v>0</v>
      </c>
      <c r="T161" s="182">
        <f t="shared" si="22"/>
        <v>0</v>
      </c>
      <c r="U161" s="182">
        <f t="shared" si="24"/>
        <v>1</v>
      </c>
      <c r="V161" s="182">
        <f t="shared" si="24"/>
        <v>0</v>
      </c>
      <c r="W161" s="182">
        <f t="shared" si="24"/>
        <v>0</v>
      </c>
      <c r="X161" s="182">
        <f t="shared" si="24"/>
        <v>0</v>
      </c>
      <c r="Y161" s="182">
        <f t="shared" si="24"/>
        <v>0</v>
      </c>
      <c r="Z161" s="182">
        <f t="shared" si="24"/>
        <v>2</v>
      </c>
      <c r="AA161" s="182">
        <f t="shared" si="24"/>
        <v>4</v>
      </c>
      <c r="AB161" s="184">
        <f t="shared" si="19"/>
        <v>8</v>
      </c>
      <c r="AC161" s="182">
        <f t="shared" si="17"/>
        <v>0.66666666666666663</v>
      </c>
      <c r="AD161" s="167"/>
      <c r="AE161" s="178">
        <f t="shared" si="18"/>
        <v>121.66624999999999</v>
      </c>
    </row>
    <row r="162" spans="1:31" s="38" customFormat="1">
      <c r="A162" s="183" t="s">
        <v>462</v>
      </c>
      <c r="B162" s="183" t="s">
        <v>463</v>
      </c>
      <c r="C162" s="181">
        <v>0</v>
      </c>
      <c r="D162" s="181">
        <v>160.63</v>
      </c>
      <c r="E162" s="181"/>
      <c r="F162" s="182">
        <v>0</v>
      </c>
      <c r="G162" s="182">
        <v>0</v>
      </c>
      <c r="H162" s="182">
        <v>0</v>
      </c>
      <c r="I162" s="182">
        <v>0</v>
      </c>
      <c r="J162" s="182">
        <v>0</v>
      </c>
      <c r="K162" s="182">
        <v>0</v>
      </c>
      <c r="L162" s="182">
        <v>160.63</v>
      </c>
      <c r="M162" s="182">
        <v>0</v>
      </c>
      <c r="N162" s="182">
        <v>0</v>
      </c>
      <c r="O162" s="182">
        <v>160.63</v>
      </c>
      <c r="P162" s="178">
        <f t="shared" ref="P162:P197" si="25">SUM(F162:O162)</f>
        <v>321.26</v>
      </c>
      <c r="Q162" s="167"/>
      <c r="R162" s="182">
        <f t="shared" si="22"/>
        <v>0</v>
      </c>
      <c r="S162" s="182">
        <f t="shared" si="22"/>
        <v>0</v>
      </c>
      <c r="T162" s="182">
        <f t="shared" si="22"/>
        <v>0</v>
      </c>
      <c r="U162" s="182">
        <f t="shared" si="24"/>
        <v>0</v>
      </c>
      <c r="V162" s="182">
        <f t="shared" si="24"/>
        <v>0</v>
      </c>
      <c r="W162" s="182">
        <f t="shared" si="24"/>
        <v>0</v>
      </c>
      <c r="X162" s="182">
        <f t="shared" si="24"/>
        <v>1</v>
      </c>
      <c r="Y162" s="182">
        <f t="shared" si="24"/>
        <v>0</v>
      </c>
      <c r="Z162" s="182">
        <f t="shared" si="24"/>
        <v>0</v>
      </c>
      <c r="AA162" s="182">
        <f t="shared" si="24"/>
        <v>1</v>
      </c>
      <c r="AB162" s="184">
        <f t="shared" si="19"/>
        <v>2</v>
      </c>
      <c r="AC162" s="182">
        <f t="shared" ref="AC162:AC167" si="26">AB162/12</f>
        <v>0.16666666666666666</v>
      </c>
      <c r="AD162" s="167"/>
      <c r="AE162" s="178">
        <f t="shared" ref="AE162:AE166" si="27">+P162/AB162</f>
        <v>160.63</v>
      </c>
    </row>
    <row r="163" spans="1:31" s="38" customFormat="1">
      <c r="A163" s="183" t="s">
        <v>464</v>
      </c>
      <c r="B163" s="183" t="s">
        <v>465</v>
      </c>
      <c r="C163" s="181">
        <v>3.06</v>
      </c>
      <c r="D163" s="181">
        <v>3.14</v>
      </c>
      <c r="E163" s="181"/>
      <c r="F163" s="182">
        <v>573.78</v>
      </c>
      <c r="G163" s="182">
        <v>367.92</v>
      </c>
      <c r="H163" s="182">
        <v>302.22000000000003</v>
      </c>
      <c r="I163" s="182">
        <v>780.5</v>
      </c>
      <c r="J163" s="182">
        <v>352.34000000000003</v>
      </c>
      <c r="K163" s="182">
        <v>495.06</v>
      </c>
      <c r="L163" s="182">
        <v>834.02</v>
      </c>
      <c r="M163" s="182">
        <v>990.12</v>
      </c>
      <c r="N163" s="182">
        <v>735.90000000000009</v>
      </c>
      <c r="O163" s="182">
        <v>3090.7799999999997</v>
      </c>
      <c r="P163" s="178">
        <f t="shared" si="25"/>
        <v>8522.64</v>
      </c>
      <c r="Q163" s="167"/>
      <c r="R163" s="182">
        <f t="shared" si="22"/>
        <v>187.50980392156862</v>
      </c>
      <c r="S163" s="182">
        <f t="shared" si="22"/>
        <v>120.23529411764706</v>
      </c>
      <c r="T163" s="182">
        <f t="shared" si="22"/>
        <v>98.764705882352942</v>
      </c>
      <c r="U163" s="182">
        <f t="shared" si="24"/>
        <v>248.56687898089172</v>
      </c>
      <c r="V163" s="182">
        <f t="shared" si="24"/>
        <v>112.21019108280255</v>
      </c>
      <c r="W163" s="182">
        <f t="shared" si="24"/>
        <v>157.66242038216561</v>
      </c>
      <c r="X163" s="182">
        <f t="shared" si="24"/>
        <v>265.61146496815286</v>
      </c>
      <c r="Y163" s="182">
        <f t="shared" si="24"/>
        <v>315.32484076433121</v>
      </c>
      <c r="Z163" s="182">
        <f t="shared" si="24"/>
        <v>234.36305732484078</v>
      </c>
      <c r="AA163" s="182">
        <f t="shared" si="24"/>
        <v>984.32484076433104</v>
      </c>
      <c r="AB163" s="184">
        <f t="shared" ref="AB163:AB165" si="28">SUM(R163:AA163)</f>
        <v>2724.5734981890841</v>
      </c>
      <c r="AC163" s="182">
        <f t="shared" si="26"/>
        <v>227.04779151575701</v>
      </c>
      <c r="AD163" s="167"/>
      <c r="AE163" s="178">
        <f t="shared" si="27"/>
        <v>3.1280638990523322</v>
      </c>
    </row>
    <row r="164" spans="1:31" s="38" customFormat="1">
      <c r="A164" s="183" t="s">
        <v>466</v>
      </c>
      <c r="B164" s="183" t="s">
        <v>467</v>
      </c>
      <c r="C164" s="181">
        <v>13.94</v>
      </c>
      <c r="D164" s="181">
        <v>14.29</v>
      </c>
      <c r="E164" s="181"/>
      <c r="F164" s="182">
        <v>23.3</v>
      </c>
      <c r="G164" s="182">
        <v>23.3</v>
      </c>
      <c r="H164" s="182">
        <v>59.2</v>
      </c>
      <c r="I164" s="182">
        <v>142.74</v>
      </c>
      <c r="J164" s="182">
        <v>23.79</v>
      </c>
      <c r="K164" s="182">
        <v>23.79</v>
      </c>
      <c r="L164" s="182">
        <v>0</v>
      </c>
      <c r="M164" s="182">
        <v>118.95</v>
      </c>
      <c r="N164" s="182">
        <v>65.070000000000007</v>
      </c>
      <c r="O164" s="182">
        <v>570.96</v>
      </c>
      <c r="P164" s="178">
        <f t="shared" si="25"/>
        <v>1051.1000000000001</v>
      </c>
      <c r="Q164" s="167"/>
      <c r="R164" s="182">
        <f t="shared" si="22"/>
        <v>1.671449067431851</v>
      </c>
      <c r="S164" s="182">
        <f t="shared" si="22"/>
        <v>1.671449067431851</v>
      </c>
      <c r="T164" s="182">
        <f t="shared" si="22"/>
        <v>4.246771879483501</v>
      </c>
      <c r="U164" s="182">
        <f t="shared" si="24"/>
        <v>9.9888033589923033</v>
      </c>
      <c r="V164" s="182">
        <f t="shared" si="24"/>
        <v>1.6648005598320503</v>
      </c>
      <c r="W164" s="182">
        <f t="shared" si="24"/>
        <v>1.6648005598320503</v>
      </c>
      <c r="X164" s="182">
        <f t="shared" si="24"/>
        <v>0</v>
      </c>
      <c r="Y164" s="182">
        <f t="shared" si="24"/>
        <v>8.3240027991602528</v>
      </c>
      <c r="Z164" s="182">
        <f t="shared" si="24"/>
        <v>4.5535339398180552</v>
      </c>
      <c r="AA164" s="182">
        <f t="shared" si="24"/>
        <v>39.955213435969213</v>
      </c>
      <c r="AB164" s="184">
        <f t="shared" si="28"/>
        <v>73.740824667951131</v>
      </c>
      <c r="AC164" s="182">
        <f t="shared" si="26"/>
        <v>6.1450687223292606</v>
      </c>
      <c r="AD164" s="167"/>
      <c r="AE164" s="178">
        <f t="shared" si="27"/>
        <v>14.253976745351263</v>
      </c>
    </row>
    <row r="165" spans="1:31" s="38" customFormat="1">
      <c r="A165" s="183" t="s">
        <v>468</v>
      </c>
      <c r="B165" s="183" t="s">
        <v>469</v>
      </c>
      <c r="C165" s="181">
        <v>4.38</v>
      </c>
      <c r="D165" s="181">
        <v>4.46</v>
      </c>
      <c r="E165" s="181"/>
      <c r="F165" s="182">
        <v>0</v>
      </c>
      <c r="G165" s="182">
        <v>0</v>
      </c>
      <c r="H165" s="182">
        <v>0</v>
      </c>
      <c r="I165" s="182">
        <v>0</v>
      </c>
      <c r="J165" s="182">
        <v>0</v>
      </c>
      <c r="K165" s="182">
        <v>0</v>
      </c>
      <c r="L165" s="182">
        <v>0</v>
      </c>
      <c r="M165" s="182">
        <v>0</v>
      </c>
      <c r="N165" s="182">
        <v>0</v>
      </c>
      <c r="O165" s="182">
        <v>0</v>
      </c>
      <c r="P165" s="178">
        <f t="shared" si="25"/>
        <v>0</v>
      </c>
      <c r="Q165" s="167"/>
      <c r="R165" s="182">
        <f t="shared" si="22"/>
        <v>0</v>
      </c>
      <c r="S165" s="182">
        <f t="shared" si="22"/>
        <v>0</v>
      </c>
      <c r="T165" s="182">
        <f t="shared" si="22"/>
        <v>0</v>
      </c>
      <c r="U165" s="182">
        <f t="shared" si="24"/>
        <v>0</v>
      </c>
      <c r="V165" s="182">
        <f t="shared" si="24"/>
        <v>0</v>
      </c>
      <c r="W165" s="182">
        <f t="shared" si="24"/>
        <v>0</v>
      </c>
      <c r="X165" s="182">
        <f t="shared" si="24"/>
        <v>0</v>
      </c>
      <c r="Y165" s="182">
        <f t="shared" si="24"/>
        <v>0</v>
      </c>
      <c r="Z165" s="182">
        <f t="shared" si="24"/>
        <v>0</v>
      </c>
      <c r="AA165" s="182">
        <f t="shared" si="24"/>
        <v>0</v>
      </c>
      <c r="AB165" s="184">
        <f t="shared" si="28"/>
        <v>0</v>
      </c>
      <c r="AC165" s="182">
        <f t="shared" si="26"/>
        <v>0</v>
      </c>
      <c r="AD165" s="167"/>
      <c r="AE165" s="178"/>
    </row>
    <row r="166" spans="1:31" s="38" customFormat="1">
      <c r="A166" s="183" t="s">
        <v>470</v>
      </c>
      <c r="B166" s="183" t="s">
        <v>471</v>
      </c>
      <c r="C166" s="181">
        <v>3.15</v>
      </c>
      <c r="D166" s="181">
        <v>3.15</v>
      </c>
      <c r="E166" s="181"/>
      <c r="F166" s="182">
        <v>2345.4900000000002</v>
      </c>
      <c r="G166" s="182">
        <v>2848.8599999999997</v>
      </c>
      <c r="H166" s="182">
        <v>2340.9</v>
      </c>
      <c r="I166" s="182">
        <v>2995.5600000000004</v>
      </c>
      <c r="J166" s="182">
        <v>1818.06</v>
      </c>
      <c r="K166" s="182">
        <v>2782.0400000000004</v>
      </c>
      <c r="L166" s="182">
        <v>1777.24</v>
      </c>
      <c r="M166" s="182">
        <v>2866.82</v>
      </c>
      <c r="N166" s="182">
        <v>2389.5400000000004</v>
      </c>
      <c r="O166" s="182">
        <v>7740.0999999999995</v>
      </c>
      <c r="P166" s="178">
        <f>SUM(F166:O166)</f>
        <v>29904.61</v>
      </c>
      <c r="Q166" s="167"/>
      <c r="R166" s="182">
        <f>IFERROR(F166/$C166,0)</f>
        <v>744.60000000000014</v>
      </c>
      <c r="S166" s="182">
        <f t="shared" si="22"/>
        <v>904.4</v>
      </c>
      <c r="T166" s="182">
        <f t="shared" si="22"/>
        <v>743.14285714285722</v>
      </c>
      <c r="U166" s="182">
        <f t="shared" si="24"/>
        <v>950.97142857142876</v>
      </c>
      <c r="V166" s="182">
        <f t="shared" si="24"/>
        <v>577.16190476190479</v>
      </c>
      <c r="W166" s="182">
        <f t="shared" si="24"/>
        <v>883.1873015873017</v>
      </c>
      <c r="X166" s="182">
        <f t="shared" si="24"/>
        <v>564.2031746031746</v>
      </c>
      <c r="Y166" s="182">
        <f t="shared" si="24"/>
        <v>910.10158730158741</v>
      </c>
      <c r="Z166" s="182">
        <f t="shared" si="24"/>
        <v>758.58412698412712</v>
      </c>
      <c r="AA166" s="182">
        <f>IFERROR(O166/$D166,0)</f>
        <v>2457.1746031746029</v>
      </c>
      <c r="AB166" s="184">
        <f>SUM(R166:AA166)</f>
        <v>9493.5269841269837</v>
      </c>
      <c r="AC166" s="182">
        <f t="shared" si="26"/>
        <v>791.12724867724864</v>
      </c>
      <c r="AD166" s="167"/>
      <c r="AE166" s="178">
        <f t="shared" si="27"/>
        <v>3.1500000000000004</v>
      </c>
    </row>
    <row r="167" spans="1:31" s="38" customFormat="1">
      <c r="A167" s="183" t="s">
        <v>472</v>
      </c>
      <c r="B167" s="183" t="s">
        <v>473</v>
      </c>
      <c r="C167" s="181">
        <v>0</v>
      </c>
      <c r="D167" s="181">
        <v>0</v>
      </c>
      <c r="E167" s="181"/>
      <c r="F167" s="182">
        <v>613.36</v>
      </c>
      <c r="G167" s="182">
        <v>613.36</v>
      </c>
      <c r="H167" s="182">
        <v>613.36</v>
      </c>
      <c r="I167" s="182">
        <v>628.76</v>
      </c>
      <c r="J167" s="182">
        <v>628.76</v>
      </c>
      <c r="K167" s="182">
        <v>628.76</v>
      </c>
      <c r="L167" s="182">
        <v>628.76</v>
      </c>
      <c r="M167" s="182">
        <v>628.76</v>
      </c>
      <c r="N167" s="182">
        <v>628.76</v>
      </c>
      <c r="O167" s="182">
        <v>1886.28</v>
      </c>
      <c r="P167" s="178">
        <f>SUM(F167:O167)</f>
        <v>7498.920000000001</v>
      </c>
      <c r="Q167" s="167"/>
      <c r="R167" s="182">
        <f t="shared" si="22"/>
        <v>0</v>
      </c>
      <c r="S167" s="182">
        <f t="shared" si="22"/>
        <v>0</v>
      </c>
      <c r="T167" s="182">
        <f t="shared" si="22"/>
        <v>0</v>
      </c>
      <c r="U167" s="182">
        <f t="shared" si="24"/>
        <v>0</v>
      </c>
      <c r="V167" s="182">
        <f t="shared" si="24"/>
        <v>0</v>
      </c>
      <c r="W167" s="182">
        <f t="shared" si="24"/>
        <v>0</v>
      </c>
      <c r="X167" s="182">
        <f t="shared" si="24"/>
        <v>0</v>
      </c>
      <c r="Y167" s="182">
        <f t="shared" si="24"/>
        <v>0</v>
      </c>
      <c r="Z167" s="182">
        <f t="shared" si="24"/>
        <v>0</v>
      </c>
      <c r="AA167" s="182">
        <f t="shared" si="24"/>
        <v>0</v>
      </c>
      <c r="AB167" s="184">
        <f>SUM(R167:AA167)</f>
        <v>0</v>
      </c>
      <c r="AC167" s="182">
        <f t="shared" si="26"/>
        <v>0</v>
      </c>
      <c r="AD167" s="167"/>
      <c r="AE167" s="178"/>
    </row>
    <row r="168" spans="1:31" s="38" customFormat="1">
      <c r="A168" s="183" t="s">
        <v>474</v>
      </c>
      <c r="B168" s="183" t="s">
        <v>475</v>
      </c>
      <c r="C168" s="181">
        <v>14.9</v>
      </c>
      <c r="D168" s="181">
        <v>14.9</v>
      </c>
      <c r="E168" s="181"/>
      <c r="F168" s="182">
        <v>7.35</v>
      </c>
      <c r="G168" s="182">
        <v>0</v>
      </c>
      <c r="H168" s="182">
        <v>0</v>
      </c>
      <c r="I168" s="182">
        <v>0</v>
      </c>
      <c r="J168" s="182">
        <v>18.62</v>
      </c>
      <c r="K168" s="182">
        <v>0</v>
      </c>
      <c r="L168" s="182">
        <v>0</v>
      </c>
      <c r="M168" s="182">
        <v>13.23</v>
      </c>
      <c r="N168" s="182">
        <v>4.9000000000000004</v>
      </c>
      <c r="O168" s="182">
        <v>69.58</v>
      </c>
      <c r="P168" s="178">
        <f t="shared" si="25"/>
        <v>113.68</v>
      </c>
      <c r="Q168" s="167"/>
      <c r="R168" s="182"/>
      <c r="S168" s="182"/>
      <c r="T168" s="182"/>
      <c r="U168" s="182"/>
      <c r="V168" s="182"/>
      <c r="W168" s="182"/>
      <c r="X168" s="182"/>
      <c r="Y168" s="182"/>
      <c r="Z168" s="182"/>
      <c r="AA168" s="182"/>
      <c r="AB168" s="184"/>
      <c r="AC168" s="167"/>
      <c r="AD168" s="167"/>
      <c r="AE168" s="178"/>
    </row>
    <row r="169" spans="1:31" s="38" customFormat="1">
      <c r="A169" s="183" t="s">
        <v>476</v>
      </c>
      <c r="B169" s="183" t="s">
        <v>477</v>
      </c>
      <c r="C169" s="181">
        <v>18.25</v>
      </c>
      <c r="D169" s="181">
        <v>18.25</v>
      </c>
      <c r="E169" s="181"/>
      <c r="F169" s="182">
        <v>-423.6</v>
      </c>
      <c r="G169" s="182">
        <v>9.6</v>
      </c>
      <c r="H169" s="182">
        <v>0</v>
      </c>
      <c r="I169" s="182">
        <v>0</v>
      </c>
      <c r="J169" s="182">
        <v>0</v>
      </c>
      <c r="K169" s="182">
        <v>0</v>
      </c>
      <c r="L169" s="182">
        <v>0</v>
      </c>
      <c r="M169" s="182">
        <v>21.6</v>
      </c>
      <c r="N169" s="182">
        <v>21.41</v>
      </c>
      <c r="O169" s="182">
        <v>84.75</v>
      </c>
      <c r="P169" s="178">
        <f t="shared" si="25"/>
        <v>-286.23999999999995</v>
      </c>
      <c r="Q169" s="167"/>
      <c r="R169" s="182"/>
      <c r="S169" s="182"/>
      <c r="T169" s="182"/>
      <c r="U169" s="182"/>
      <c r="V169" s="182"/>
      <c r="W169" s="182"/>
      <c r="X169" s="182"/>
      <c r="Y169" s="182"/>
      <c r="Z169" s="182"/>
      <c r="AA169" s="182"/>
      <c r="AB169" s="184"/>
      <c r="AC169" s="167"/>
      <c r="AD169" s="167"/>
      <c r="AE169" s="167"/>
    </row>
    <row r="170" spans="1:31" s="38" customFormat="1">
      <c r="A170" s="183" t="s">
        <v>478</v>
      </c>
      <c r="B170" s="183" t="s">
        <v>479</v>
      </c>
      <c r="C170" s="181">
        <v>18.25</v>
      </c>
      <c r="D170" s="181">
        <v>18.25</v>
      </c>
      <c r="E170" s="181"/>
      <c r="F170" s="182">
        <v>97.45</v>
      </c>
      <c r="G170" s="182">
        <v>23.05</v>
      </c>
      <c r="H170" s="182">
        <v>51.25</v>
      </c>
      <c r="I170" s="182">
        <v>62.650000000000006</v>
      </c>
      <c r="J170" s="182">
        <v>31.2</v>
      </c>
      <c r="K170" s="182">
        <v>9.6</v>
      </c>
      <c r="L170" s="182">
        <v>80.789999999999992</v>
      </c>
      <c r="M170" s="182">
        <v>99.25</v>
      </c>
      <c r="N170" s="182">
        <v>48.25</v>
      </c>
      <c r="O170" s="182">
        <v>280.10000000000002</v>
      </c>
      <c r="P170" s="178">
        <f t="shared" si="25"/>
        <v>783.59</v>
      </c>
      <c r="Q170" s="167"/>
      <c r="R170" s="182"/>
      <c r="S170" s="182"/>
      <c r="T170" s="182"/>
      <c r="U170" s="182"/>
      <c r="V170" s="182"/>
      <c r="W170" s="182"/>
      <c r="X170" s="182"/>
      <c r="Y170" s="182"/>
      <c r="Z170" s="182"/>
      <c r="AA170" s="182"/>
      <c r="AB170" s="184"/>
      <c r="AC170" s="167"/>
      <c r="AD170" s="167"/>
      <c r="AE170" s="167"/>
    </row>
    <row r="171" spans="1:31" s="38" customFormat="1">
      <c r="A171" s="183" t="s">
        <v>480</v>
      </c>
      <c r="B171" s="183" t="s">
        <v>481</v>
      </c>
      <c r="C171" s="181">
        <v>33.15</v>
      </c>
      <c r="D171" s="181">
        <v>33.15</v>
      </c>
      <c r="E171" s="181"/>
      <c r="F171" s="182">
        <v>0</v>
      </c>
      <c r="G171" s="182">
        <v>0</v>
      </c>
      <c r="H171" s="182">
        <v>0</v>
      </c>
      <c r="I171" s="182">
        <v>0</v>
      </c>
      <c r="J171" s="182">
        <v>0</v>
      </c>
      <c r="K171" s="182">
        <v>0</v>
      </c>
      <c r="L171" s="182">
        <v>0</v>
      </c>
      <c r="M171" s="182">
        <v>0</v>
      </c>
      <c r="N171" s="182">
        <v>0</v>
      </c>
      <c r="O171" s="182">
        <v>33.790000000000006</v>
      </c>
      <c r="P171" s="178">
        <f t="shared" si="25"/>
        <v>33.790000000000006</v>
      </c>
      <c r="Q171" s="167"/>
      <c r="R171" s="182"/>
      <c r="S171" s="182"/>
      <c r="T171" s="182"/>
      <c r="U171" s="182"/>
      <c r="V171" s="182"/>
      <c r="W171" s="182"/>
      <c r="X171" s="182"/>
      <c r="Y171" s="182"/>
      <c r="Z171" s="182"/>
      <c r="AA171" s="182"/>
      <c r="AB171" s="184"/>
      <c r="AC171" s="167"/>
      <c r="AD171" s="167"/>
      <c r="AE171" s="167"/>
    </row>
    <row r="172" spans="1:31" s="38" customFormat="1">
      <c r="A172" s="183" t="s">
        <v>482</v>
      </c>
      <c r="B172" s="183" t="s">
        <v>483</v>
      </c>
      <c r="C172" s="181">
        <v>49.88</v>
      </c>
      <c r="D172" s="181">
        <v>49.88</v>
      </c>
      <c r="E172" s="181"/>
      <c r="F172" s="182">
        <v>0</v>
      </c>
      <c r="G172" s="182">
        <v>0</v>
      </c>
      <c r="H172" s="182">
        <v>0</v>
      </c>
      <c r="I172" s="182">
        <v>0</v>
      </c>
      <c r="J172" s="182">
        <v>0</v>
      </c>
      <c r="K172" s="182">
        <v>0</v>
      </c>
      <c r="L172" s="182">
        <v>0</v>
      </c>
      <c r="M172" s="182">
        <v>0</v>
      </c>
      <c r="N172" s="182">
        <v>13.12</v>
      </c>
      <c r="O172" s="182">
        <v>49.2</v>
      </c>
      <c r="P172" s="178">
        <f t="shared" si="25"/>
        <v>62.32</v>
      </c>
      <c r="Q172" s="167"/>
      <c r="R172" s="182"/>
      <c r="S172" s="182"/>
      <c r="T172" s="182"/>
      <c r="U172" s="182"/>
      <c r="V172" s="182"/>
      <c r="W172" s="182"/>
      <c r="X172" s="182"/>
      <c r="Y172" s="182"/>
      <c r="Z172" s="182"/>
      <c r="AA172" s="182"/>
      <c r="AB172" s="184"/>
      <c r="AC172" s="167"/>
      <c r="AD172" s="167"/>
      <c r="AE172" s="167"/>
    </row>
    <row r="173" spans="1:31" s="38" customFormat="1">
      <c r="A173" s="183" t="s">
        <v>484</v>
      </c>
      <c r="B173" s="183" t="s">
        <v>485</v>
      </c>
      <c r="C173" s="181">
        <v>45.8</v>
      </c>
      <c r="D173" s="181">
        <v>45.8</v>
      </c>
      <c r="E173" s="181"/>
      <c r="F173" s="182">
        <v>45.8</v>
      </c>
      <c r="G173" s="182">
        <v>0</v>
      </c>
      <c r="H173" s="182">
        <v>0</v>
      </c>
      <c r="I173" s="182">
        <v>0</v>
      </c>
      <c r="J173" s="182">
        <v>0</v>
      </c>
      <c r="K173" s="182">
        <v>0</v>
      </c>
      <c r="L173" s="182">
        <v>0</v>
      </c>
      <c r="M173" s="182">
        <v>91.6</v>
      </c>
      <c r="N173" s="182">
        <v>45.8</v>
      </c>
      <c r="O173" s="182">
        <v>45.8</v>
      </c>
      <c r="P173" s="178">
        <f t="shared" si="25"/>
        <v>229</v>
      </c>
      <c r="Q173" s="167"/>
      <c r="R173" s="182"/>
      <c r="S173" s="182"/>
      <c r="T173" s="182"/>
      <c r="U173" s="182"/>
      <c r="V173" s="182"/>
      <c r="W173" s="182"/>
      <c r="X173" s="182"/>
      <c r="Y173" s="182"/>
      <c r="Z173" s="182"/>
      <c r="AA173" s="182"/>
      <c r="AB173" s="184"/>
      <c r="AC173" s="167"/>
      <c r="AD173" s="167"/>
      <c r="AE173" s="167"/>
    </row>
    <row r="174" spans="1:31" s="38" customFormat="1">
      <c r="A174" s="183" t="s">
        <v>486</v>
      </c>
      <c r="B174" s="183" t="s">
        <v>487</v>
      </c>
      <c r="C174" s="181">
        <v>45.8</v>
      </c>
      <c r="D174" s="181">
        <v>45.8</v>
      </c>
      <c r="E174" s="181"/>
      <c r="F174" s="182">
        <v>0</v>
      </c>
      <c r="G174" s="182">
        <v>91.6</v>
      </c>
      <c r="H174" s="182">
        <v>0</v>
      </c>
      <c r="I174" s="182">
        <v>0</v>
      </c>
      <c r="J174" s="182">
        <v>0</v>
      </c>
      <c r="K174" s="182">
        <v>0</v>
      </c>
      <c r="L174" s="182">
        <v>45.8</v>
      </c>
      <c r="M174" s="182">
        <v>45.8</v>
      </c>
      <c r="N174" s="182">
        <v>183.2</v>
      </c>
      <c r="O174" s="182">
        <v>183.2</v>
      </c>
      <c r="P174" s="178">
        <f t="shared" si="25"/>
        <v>549.59999999999991</v>
      </c>
      <c r="Q174" s="167"/>
      <c r="R174" s="182"/>
      <c r="S174" s="182"/>
      <c r="T174" s="182"/>
      <c r="U174" s="182"/>
      <c r="V174" s="182"/>
      <c r="W174" s="182"/>
      <c r="X174" s="182"/>
      <c r="Y174" s="182"/>
      <c r="Z174" s="182"/>
      <c r="AA174" s="182"/>
      <c r="AB174" s="184"/>
      <c r="AC174" s="167"/>
      <c r="AD174" s="167"/>
      <c r="AE174" s="167"/>
    </row>
    <row r="175" spans="1:31" s="38" customFormat="1">
      <c r="A175" s="183" t="s">
        <v>488</v>
      </c>
      <c r="B175" s="183" t="s">
        <v>489</v>
      </c>
      <c r="C175" s="181">
        <v>45.8</v>
      </c>
      <c r="D175" s="181">
        <v>45.8</v>
      </c>
      <c r="E175" s="181"/>
      <c r="F175" s="182">
        <v>45.8</v>
      </c>
      <c r="G175" s="182">
        <v>228.99999999999997</v>
      </c>
      <c r="H175" s="182">
        <v>45.8</v>
      </c>
      <c r="I175" s="182">
        <v>229</v>
      </c>
      <c r="J175" s="182">
        <v>91.6</v>
      </c>
      <c r="K175" s="182">
        <v>274.8</v>
      </c>
      <c r="L175" s="182">
        <v>45.8</v>
      </c>
      <c r="M175" s="182">
        <v>229</v>
      </c>
      <c r="N175" s="182">
        <v>366.4</v>
      </c>
      <c r="O175" s="182">
        <v>732.8</v>
      </c>
      <c r="P175" s="178">
        <f t="shared" si="25"/>
        <v>2290</v>
      </c>
      <c r="Q175" s="167"/>
      <c r="R175" s="182"/>
      <c r="S175" s="182"/>
      <c r="T175" s="182"/>
      <c r="U175" s="182"/>
      <c r="V175" s="182"/>
      <c r="W175" s="182"/>
      <c r="X175" s="182"/>
      <c r="Y175" s="182"/>
      <c r="Z175" s="182"/>
      <c r="AA175" s="182"/>
      <c r="AB175" s="184"/>
      <c r="AC175" s="167"/>
      <c r="AD175" s="167"/>
      <c r="AE175" s="167"/>
    </row>
    <row r="176" spans="1:31" s="38" customFormat="1">
      <c r="A176" s="183" t="s">
        <v>490</v>
      </c>
      <c r="B176" s="183" t="s">
        <v>491</v>
      </c>
      <c r="C176" s="181">
        <v>54.5</v>
      </c>
      <c r="D176" s="181">
        <v>54.5</v>
      </c>
      <c r="E176" s="181"/>
      <c r="F176" s="182">
        <v>0</v>
      </c>
      <c r="G176" s="182">
        <v>0</v>
      </c>
      <c r="H176" s="182">
        <v>0</v>
      </c>
      <c r="I176" s="182">
        <v>0</v>
      </c>
      <c r="J176" s="182">
        <v>0</v>
      </c>
      <c r="K176" s="182">
        <v>0</v>
      </c>
      <c r="L176" s="182">
        <v>0</v>
      </c>
      <c r="M176" s="182">
        <v>163.5</v>
      </c>
      <c r="N176" s="182">
        <v>109</v>
      </c>
      <c r="O176" s="182">
        <v>163.5</v>
      </c>
      <c r="P176" s="178">
        <f t="shared" si="25"/>
        <v>436</v>
      </c>
      <c r="Q176" s="167"/>
      <c r="R176" s="182"/>
      <c r="S176" s="182"/>
      <c r="T176" s="182"/>
      <c r="U176" s="182"/>
      <c r="V176" s="182"/>
      <c r="W176" s="182"/>
      <c r="X176" s="182"/>
      <c r="Y176" s="182"/>
      <c r="Z176" s="182"/>
      <c r="AA176" s="182"/>
      <c r="AB176" s="184"/>
      <c r="AC176" s="167"/>
      <c r="AD176" s="167"/>
      <c r="AE176" s="167"/>
    </row>
    <row r="177" spans="1:31" s="38" customFormat="1">
      <c r="A177" s="183" t="s">
        <v>492</v>
      </c>
      <c r="B177" s="183" t="s">
        <v>493</v>
      </c>
      <c r="C177" s="181">
        <v>54.5</v>
      </c>
      <c r="D177" s="181">
        <v>54.5</v>
      </c>
      <c r="E177" s="181"/>
      <c r="F177" s="182">
        <v>0</v>
      </c>
      <c r="G177" s="182">
        <v>0</v>
      </c>
      <c r="H177" s="182">
        <v>0</v>
      </c>
      <c r="I177" s="182">
        <v>0</v>
      </c>
      <c r="J177" s="182">
        <v>0</v>
      </c>
      <c r="K177" s="182">
        <v>0</v>
      </c>
      <c r="L177" s="182">
        <v>0</v>
      </c>
      <c r="M177" s="182">
        <v>0</v>
      </c>
      <c r="N177" s="182">
        <v>109</v>
      </c>
      <c r="O177" s="182">
        <v>272.5</v>
      </c>
      <c r="P177" s="178">
        <f t="shared" si="25"/>
        <v>381.5</v>
      </c>
      <c r="Q177" s="167"/>
      <c r="R177" s="182"/>
      <c r="S177" s="182"/>
      <c r="T177" s="182"/>
      <c r="U177" s="182"/>
      <c r="V177" s="182"/>
      <c r="W177" s="182"/>
      <c r="X177" s="182"/>
      <c r="Y177" s="182"/>
      <c r="Z177" s="182"/>
      <c r="AA177" s="182"/>
      <c r="AB177" s="184"/>
      <c r="AC177" s="167"/>
      <c r="AD177" s="167"/>
      <c r="AE177" s="167"/>
    </row>
    <row r="178" spans="1:31" s="38" customFormat="1">
      <c r="A178" s="183" t="s">
        <v>494</v>
      </c>
      <c r="B178" s="183" t="s">
        <v>495</v>
      </c>
      <c r="C178" s="181">
        <v>4.03</v>
      </c>
      <c r="D178" s="181">
        <v>4.03</v>
      </c>
      <c r="E178" s="181"/>
      <c r="F178" s="182">
        <v>72.540000000000006</v>
      </c>
      <c r="G178" s="182">
        <v>80.600000000000009</v>
      </c>
      <c r="H178" s="182">
        <v>84.63000000000001</v>
      </c>
      <c r="I178" s="182">
        <v>84.63000000000001</v>
      </c>
      <c r="J178" s="182">
        <v>88.66</v>
      </c>
      <c r="K178" s="182">
        <v>92.69</v>
      </c>
      <c r="L178" s="182">
        <v>92.69</v>
      </c>
      <c r="M178" s="182">
        <v>80.599999999999994</v>
      </c>
      <c r="N178" s="182">
        <v>80.600000000000009</v>
      </c>
      <c r="O178" s="182">
        <v>235.76</v>
      </c>
      <c r="P178" s="178">
        <f t="shared" si="25"/>
        <v>993.40000000000009</v>
      </c>
      <c r="Q178" s="167"/>
      <c r="R178" s="182"/>
      <c r="S178" s="182"/>
      <c r="T178" s="182"/>
      <c r="U178" s="182"/>
      <c r="V178" s="182"/>
      <c r="W178" s="182"/>
      <c r="X178" s="182"/>
      <c r="Y178" s="182"/>
      <c r="Z178" s="182"/>
      <c r="AA178" s="182"/>
      <c r="AB178" s="184"/>
      <c r="AC178" s="167"/>
      <c r="AD178" s="167"/>
      <c r="AE178" s="167"/>
    </row>
    <row r="179" spans="1:31" s="38" customFormat="1">
      <c r="A179" s="183" t="s">
        <v>496</v>
      </c>
      <c r="B179" s="183" t="s">
        <v>497</v>
      </c>
      <c r="C179" s="181">
        <v>8.0500000000000007</v>
      </c>
      <c r="D179" s="181">
        <v>8.0500000000000007</v>
      </c>
      <c r="E179" s="181"/>
      <c r="F179" s="182">
        <v>513.18999999999994</v>
      </c>
      <c r="G179" s="182">
        <v>507.15</v>
      </c>
      <c r="H179" s="182">
        <v>507.15</v>
      </c>
      <c r="I179" s="182">
        <v>499.1</v>
      </c>
      <c r="J179" s="182">
        <v>507.15</v>
      </c>
      <c r="K179" s="182">
        <v>503.12</v>
      </c>
      <c r="L179" s="182">
        <v>501.11</v>
      </c>
      <c r="M179" s="182">
        <v>507.15</v>
      </c>
      <c r="N179" s="182">
        <v>515.20000000000005</v>
      </c>
      <c r="O179" s="182">
        <v>1537.55</v>
      </c>
      <c r="P179" s="178">
        <f t="shared" si="25"/>
        <v>6097.87</v>
      </c>
      <c r="Q179" s="167"/>
      <c r="R179" s="182"/>
      <c r="S179" s="182"/>
      <c r="T179" s="182"/>
      <c r="U179" s="182"/>
      <c r="V179" s="182"/>
      <c r="W179" s="182"/>
      <c r="X179" s="182"/>
      <c r="Y179" s="182"/>
      <c r="Z179" s="182"/>
      <c r="AA179" s="182"/>
      <c r="AB179" s="184"/>
      <c r="AC179" s="167"/>
      <c r="AD179" s="167"/>
      <c r="AE179" s="167"/>
    </row>
    <row r="180" spans="1:31" s="38" customFormat="1">
      <c r="A180" s="183" t="s">
        <v>498</v>
      </c>
      <c r="B180" s="183" t="s">
        <v>499</v>
      </c>
      <c r="C180" s="181">
        <v>2.5099999999999998</v>
      </c>
      <c r="D180" s="181">
        <v>2.5099999999999998</v>
      </c>
      <c r="E180" s="181"/>
      <c r="F180" s="182">
        <v>10.039999999999999</v>
      </c>
      <c r="G180" s="182">
        <v>10.039999999999999</v>
      </c>
      <c r="H180" s="182">
        <v>10.039999999999999</v>
      </c>
      <c r="I180" s="182">
        <v>10.039999999999999</v>
      </c>
      <c r="J180" s="182">
        <v>10.039999999999999</v>
      </c>
      <c r="K180" s="182">
        <v>10.039999999999999</v>
      </c>
      <c r="L180" s="182">
        <v>10.039999999999999</v>
      </c>
      <c r="M180" s="182">
        <v>10.039999999999999</v>
      </c>
      <c r="N180" s="182">
        <v>10.039999999999999</v>
      </c>
      <c r="O180" s="182">
        <v>30.12</v>
      </c>
      <c r="P180" s="178">
        <f t="shared" si="25"/>
        <v>120.47999999999999</v>
      </c>
      <c r="Q180" s="167"/>
      <c r="R180" s="182"/>
      <c r="S180" s="182"/>
      <c r="T180" s="182"/>
      <c r="U180" s="182"/>
      <c r="V180" s="182"/>
      <c r="W180" s="182"/>
      <c r="X180" s="182"/>
      <c r="Y180" s="182"/>
      <c r="Z180" s="182"/>
      <c r="AA180" s="182"/>
      <c r="AB180" s="184"/>
      <c r="AC180" s="167"/>
      <c r="AD180" s="167"/>
      <c r="AE180" s="167"/>
    </row>
    <row r="181" spans="1:31" s="38" customFormat="1">
      <c r="A181" s="183" t="s">
        <v>500</v>
      </c>
      <c r="B181" s="183" t="s">
        <v>501</v>
      </c>
      <c r="C181" s="181">
        <v>8.66</v>
      </c>
      <c r="D181" s="181">
        <v>8.66</v>
      </c>
      <c r="E181" s="181"/>
      <c r="F181" s="182">
        <v>285.78000000000003</v>
      </c>
      <c r="G181" s="182">
        <v>285.78000000000003</v>
      </c>
      <c r="H181" s="182">
        <v>285.78000000000003</v>
      </c>
      <c r="I181" s="182">
        <v>285.77999999999997</v>
      </c>
      <c r="J181" s="182">
        <v>277.12</v>
      </c>
      <c r="K181" s="182">
        <v>272.78999999999996</v>
      </c>
      <c r="L181" s="182">
        <v>264.13</v>
      </c>
      <c r="M181" s="182">
        <v>259.8</v>
      </c>
      <c r="N181" s="182">
        <v>277.12</v>
      </c>
      <c r="O181" s="182">
        <v>840.02</v>
      </c>
      <c r="P181" s="178">
        <f t="shared" si="25"/>
        <v>3334.1000000000004</v>
      </c>
      <c r="Q181" s="167"/>
      <c r="R181" s="182"/>
      <c r="S181" s="182"/>
      <c r="T181" s="182"/>
      <c r="U181" s="182"/>
      <c r="V181" s="182"/>
      <c r="W181" s="182"/>
      <c r="X181" s="182"/>
      <c r="Y181" s="182"/>
      <c r="Z181" s="182"/>
      <c r="AA181" s="182"/>
      <c r="AB181" s="184"/>
      <c r="AC181" s="167"/>
      <c r="AD181" s="167"/>
      <c r="AE181" s="167"/>
    </row>
    <row r="182" spans="1:31" s="38" customFormat="1">
      <c r="A182" s="183" t="s">
        <v>502</v>
      </c>
      <c r="B182" s="183" t="s">
        <v>503</v>
      </c>
      <c r="C182" s="181">
        <v>17.32</v>
      </c>
      <c r="D182" s="181">
        <v>17.32</v>
      </c>
      <c r="E182" s="181"/>
      <c r="F182" s="182">
        <v>51.96</v>
      </c>
      <c r="G182" s="182">
        <v>51.96</v>
      </c>
      <c r="H182" s="182">
        <v>51.96</v>
      </c>
      <c r="I182" s="182">
        <v>51.96</v>
      </c>
      <c r="J182" s="182">
        <v>51.96</v>
      </c>
      <c r="K182" s="182">
        <v>51.96</v>
      </c>
      <c r="L182" s="182">
        <v>69.28</v>
      </c>
      <c r="M182" s="182">
        <v>69.28</v>
      </c>
      <c r="N182" s="182">
        <v>69.28</v>
      </c>
      <c r="O182" s="182">
        <v>207.84</v>
      </c>
      <c r="P182" s="178">
        <f t="shared" si="25"/>
        <v>727.43999999999994</v>
      </c>
      <c r="Q182" s="167"/>
      <c r="R182" s="182"/>
      <c r="S182" s="182"/>
      <c r="T182" s="182"/>
      <c r="U182" s="182"/>
      <c r="V182" s="182"/>
      <c r="W182" s="182"/>
      <c r="X182" s="182"/>
      <c r="Y182" s="182"/>
      <c r="Z182" s="182"/>
      <c r="AA182" s="182"/>
      <c r="AB182" s="184"/>
      <c r="AC182" s="167"/>
      <c r="AD182" s="167"/>
      <c r="AE182" s="167"/>
    </row>
    <row r="183" spans="1:31" s="38" customFormat="1">
      <c r="A183" s="183" t="s">
        <v>504</v>
      </c>
      <c r="B183" s="183" t="s">
        <v>505</v>
      </c>
      <c r="C183" s="181">
        <v>11.3</v>
      </c>
      <c r="D183" s="181">
        <v>11.3</v>
      </c>
      <c r="E183" s="181"/>
      <c r="F183" s="182">
        <v>0</v>
      </c>
      <c r="G183" s="182">
        <v>33.900000000000006</v>
      </c>
      <c r="H183" s="182">
        <v>56.500000000000007</v>
      </c>
      <c r="I183" s="182">
        <v>45.2</v>
      </c>
      <c r="J183" s="182">
        <v>56.5</v>
      </c>
      <c r="K183" s="182">
        <v>22.6</v>
      </c>
      <c r="L183" s="182">
        <v>45.2</v>
      </c>
      <c r="M183" s="182">
        <v>22.6</v>
      </c>
      <c r="N183" s="182">
        <v>45.2</v>
      </c>
      <c r="O183" s="182">
        <v>158.19999999999999</v>
      </c>
      <c r="P183" s="178">
        <f t="shared" si="25"/>
        <v>485.90000000000003</v>
      </c>
      <c r="Q183" s="167"/>
      <c r="R183" s="182"/>
      <c r="S183" s="182"/>
      <c r="T183" s="182"/>
      <c r="U183" s="182"/>
      <c r="V183" s="182"/>
      <c r="W183" s="182"/>
      <c r="X183" s="182"/>
      <c r="Y183" s="182"/>
      <c r="Z183" s="182"/>
      <c r="AA183" s="182"/>
      <c r="AB183" s="184"/>
      <c r="AC183" s="167"/>
      <c r="AD183" s="167"/>
      <c r="AE183" s="167"/>
    </row>
    <row r="184" spans="1:31" s="38" customFormat="1">
      <c r="A184" s="183" t="s">
        <v>506</v>
      </c>
      <c r="B184" s="183" t="s">
        <v>507</v>
      </c>
      <c r="C184" s="181">
        <v>13.65</v>
      </c>
      <c r="D184" s="181">
        <v>13.65</v>
      </c>
      <c r="E184" s="181"/>
      <c r="F184" s="182">
        <v>0</v>
      </c>
      <c r="G184" s="182">
        <v>0</v>
      </c>
      <c r="H184" s="182">
        <v>0</v>
      </c>
      <c r="I184" s="182">
        <v>0</v>
      </c>
      <c r="J184" s="182">
        <v>0</v>
      </c>
      <c r="K184" s="182">
        <v>0</v>
      </c>
      <c r="L184" s="182">
        <v>0</v>
      </c>
      <c r="M184" s="182">
        <v>0</v>
      </c>
      <c r="N184" s="182">
        <v>0</v>
      </c>
      <c r="O184" s="182">
        <v>0</v>
      </c>
      <c r="P184" s="178">
        <f t="shared" si="25"/>
        <v>0</v>
      </c>
      <c r="Q184" s="167"/>
      <c r="R184" s="182"/>
      <c r="S184" s="182"/>
      <c r="T184" s="182"/>
      <c r="U184" s="182"/>
      <c r="V184" s="182"/>
      <c r="W184" s="182"/>
      <c r="X184" s="182"/>
      <c r="Y184" s="182"/>
      <c r="Z184" s="182"/>
      <c r="AA184" s="182"/>
      <c r="AB184" s="184"/>
      <c r="AC184" s="167"/>
      <c r="AD184" s="167"/>
      <c r="AE184" s="167"/>
    </row>
    <row r="185" spans="1:31" s="38" customFormat="1">
      <c r="A185" s="183" t="s">
        <v>508</v>
      </c>
      <c r="B185" s="183" t="s">
        <v>509</v>
      </c>
      <c r="C185" s="181">
        <v>13.65</v>
      </c>
      <c r="D185" s="181">
        <v>13.65</v>
      </c>
      <c r="E185" s="181"/>
      <c r="F185" s="182">
        <v>0</v>
      </c>
      <c r="G185" s="182">
        <v>0</v>
      </c>
      <c r="H185" s="182">
        <v>0</v>
      </c>
      <c r="I185" s="182">
        <v>0</v>
      </c>
      <c r="J185" s="182">
        <v>0</v>
      </c>
      <c r="K185" s="182">
        <v>0</v>
      </c>
      <c r="L185" s="182">
        <v>0</v>
      </c>
      <c r="M185" s="182">
        <v>0</v>
      </c>
      <c r="N185" s="182">
        <v>0</v>
      </c>
      <c r="O185" s="182">
        <v>0</v>
      </c>
      <c r="P185" s="178">
        <f t="shared" si="25"/>
        <v>0</v>
      </c>
      <c r="Q185" s="167"/>
      <c r="R185" s="182"/>
      <c r="S185" s="182"/>
      <c r="T185" s="182"/>
      <c r="U185" s="182"/>
      <c r="V185" s="182"/>
      <c r="W185" s="182"/>
      <c r="X185" s="182"/>
      <c r="Y185" s="182"/>
      <c r="Z185" s="182"/>
      <c r="AA185" s="182"/>
      <c r="AB185" s="184"/>
      <c r="AC185" s="167"/>
      <c r="AD185" s="167"/>
      <c r="AE185" s="167"/>
    </row>
    <row r="186" spans="1:31" s="38" customFormat="1">
      <c r="A186" s="183" t="s">
        <v>510</v>
      </c>
      <c r="B186" s="183" t="s">
        <v>511</v>
      </c>
      <c r="C186" s="181">
        <v>30</v>
      </c>
      <c r="D186" s="181">
        <v>30</v>
      </c>
      <c r="E186" s="181"/>
      <c r="F186" s="182">
        <v>0</v>
      </c>
      <c r="G186" s="182">
        <v>0</v>
      </c>
      <c r="H186" s="182">
        <v>0</v>
      </c>
      <c r="I186" s="182">
        <v>60</v>
      </c>
      <c r="J186" s="182">
        <v>60</v>
      </c>
      <c r="K186" s="182">
        <v>0</v>
      </c>
      <c r="L186" s="182">
        <v>30</v>
      </c>
      <c r="M186" s="182">
        <v>0</v>
      </c>
      <c r="N186" s="182">
        <v>0</v>
      </c>
      <c r="O186" s="182">
        <v>60</v>
      </c>
      <c r="P186" s="178">
        <f t="shared" si="25"/>
        <v>210</v>
      </c>
      <c r="Q186" s="167"/>
      <c r="R186" s="182"/>
      <c r="S186" s="182"/>
      <c r="T186" s="182"/>
      <c r="U186" s="182"/>
      <c r="V186" s="182"/>
      <c r="W186" s="182"/>
      <c r="X186" s="182"/>
      <c r="Y186" s="182"/>
      <c r="Z186" s="182"/>
      <c r="AA186" s="182"/>
      <c r="AB186" s="184"/>
      <c r="AC186" s="167"/>
      <c r="AD186" s="167"/>
      <c r="AE186" s="167"/>
    </row>
    <row r="187" spans="1:31" s="38" customFormat="1">
      <c r="A187" s="183" t="s">
        <v>512</v>
      </c>
      <c r="B187" s="183" t="s">
        <v>330</v>
      </c>
      <c r="C187" s="181">
        <v>92</v>
      </c>
      <c r="D187" s="181">
        <v>92</v>
      </c>
      <c r="E187" s="181"/>
      <c r="F187" s="182">
        <v>0</v>
      </c>
      <c r="G187" s="182">
        <v>0</v>
      </c>
      <c r="H187" s="182">
        <v>0</v>
      </c>
      <c r="I187" s="182">
        <v>0</v>
      </c>
      <c r="J187" s="182">
        <v>0</v>
      </c>
      <c r="K187" s="182">
        <v>0</v>
      </c>
      <c r="L187" s="182">
        <v>0</v>
      </c>
      <c r="M187" s="182">
        <v>0</v>
      </c>
      <c r="N187" s="182">
        <v>0</v>
      </c>
      <c r="O187" s="182">
        <v>0</v>
      </c>
      <c r="P187" s="178">
        <f t="shared" si="25"/>
        <v>0</v>
      </c>
      <c r="Q187" s="167"/>
      <c r="R187" s="182"/>
      <c r="S187" s="182"/>
      <c r="T187" s="182"/>
      <c r="U187" s="182"/>
      <c r="V187" s="182"/>
      <c r="W187" s="182"/>
      <c r="X187" s="182"/>
      <c r="Y187" s="182"/>
      <c r="Z187" s="182"/>
      <c r="AA187" s="182"/>
      <c r="AB187" s="184"/>
      <c r="AC187" s="167"/>
      <c r="AD187" s="167"/>
      <c r="AE187" s="167"/>
    </row>
    <row r="188" spans="1:31" s="38" customFormat="1">
      <c r="A188" s="183" t="s">
        <v>513</v>
      </c>
      <c r="B188" s="183" t="s">
        <v>514</v>
      </c>
      <c r="C188" s="181">
        <v>0</v>
      </c>
      <c r="D188" s="181">
        <v>0</v>
      </c>
      <c r="E188" s="181"/>
      <c r="F188" s="182">
        <v>0</v>
      </c>
      <c r="G188" s="182">
        <v>0</v>
      </c>
      <c r="H188" s="182">
        <v>0</v>
      </c>
      <c r="I188" s="182">
        <v>0</v>
      </c>
      <c r="J188" s="182">
        <v>0</v>
      </c>
      <c r="K188" s="182">
        <v>0</v>
      </c>
      <c r="L188" s="182">
        <v>0</v>
      </c>
      <c r="M188" s="182">
        <v>0</v>
      </c>
      <c r="N188" s="182">
        <v>0</v>
      </c>
      <c r="O188" s="182">
        <v>0</v>
      </c>
      <c r="P188" s="178">
        <f t="shared" si="25"/>
        <v>0</v>
      </c>
      <c r="Q188" s="167"/>
      <c r="R188" s="182"/>
      <c r="S188" s="182"/>
      <c r="T188" s="182"/>
      <c r="U188" s="182"/>
      <c r="V188" s="182"/>
      <c r="W188" s="182"/>
      <c r="X188" s="182"/>
      <c r="Y188" s="182"/>
      <c r="Z188" s="182"/>
      <c r="AA188" s="182"/>
      <c r="AB188" s="184"/>
      <c r="AC188" s="167"/>
      <c r="AD188" s="167"/>
      <c r="AE188" s="167"/>
    </row>
    <row r="189" spans="1:31" s="38" customFormat="1">
      <c r="A189" s="183" t="s">
        <v>515</v>
      </c>
      <c r="B189" s="183" t="s">
        <v>516</v>
      </c>
      <c r="C189" s="181">
        <v>8.66</v>
      </c>
      <c r="D189" s="181">
        <v>8.66</v>
      </c>
      <c r="E189" s="181"/>
      <c r="F189" s="182">
        <v>70.97999999999999</v>
      </c>
      <c r="G189" s="182">
        <v>25.98</v>
      </c>
      <c r="H189" s="182">
        <v>25.98</v>
      </c>
      <c r="I189" s="182">
        <v>25.98</v>
      </c>
      <c r="J189" s="182">
        <v>25.98</v>
      </c>
      <c r="K189" s="182">
        <v>25.98</v>
      </c>
      <c r="L189" s="182">
        <v>25.98</v>
      </c>
      <c r="M189" s="182">
        <v>25.98</v>
      </c>
      <c r="N189" s="182">
        <v>25.98</v>
      </c>
      <c r="O189" s="182">
        <v>77.94</v>
      </c>
      <c r="P189" s="178">
        <f t="shared" si="25"/>
        <v>356.75999999999993</v>
      </c>
      <c r="Q189" s="167"/>
      <c r="R189" s="182"/>
      <c r="S189" s="182"/>
      <c r="T189" s="182"/>
      <c r="U189" s="182"/>
      <c r="V189" s="182"/>
      <c r="W189" s="182"/>
      <c r="X189" s="182"/>
      <c r="Y189" s="182"/>
      <c r="Z189" s="182"/>
      <c r="AA189" s="182"/>
      <c r="AB189" s="184"/>
      <c r="AC189" s="167"/>
      <c r="AD189" s="167"/>
      <c r="AE189" s="167"/>
    </row>
    <row r="190" spans="1:31" s="38" customFormat="1">
      <c r="A190" s="183" t="s">
        <v>517</v>
      </c>
      <c r="B190" s="183" t="s">
        <v>518</v>
      </c>
      <c r="C190" s="181">
        <v>4.33</v>
      </c>
      <c r="D190" s="181">
        <v>4.33</v>
      </c>
      <c r="E190" s="181"/>
      <c r="F190" s="182">
        <v>4.33</v>
      </c>
      <c r="G190" s="182">
        <v>4.33</v>
      </c>
      <c r="H190" s="182">
        <v>2.17</v>
      </c>
      <c r="I190" s="182">
        <v>4.33</v>
      </c>
      <c r="J190" s="182">
        <v>4.33</v>
      </c>
      <c r="K190" s="182">
        <v>4.33</v>
      </c>
      <c r="L190" s="182">
        <v>4.33</v>
      </c>
      <c r="M190" s="182">
        <v>2.17</v>
      </c>
      <c r="N190" s="182">
        <v>4.33</v>
      </c>
      <c r="O190" s="182">
        <v>12.99</v>
      </c>
      <c r="P190" s="178">
        <f t="shared" si="25"/>
        <v>47.64</v>
      </c>
      <c r="Q190" s="167"/>
      <c r="R190" s="182"/>
      <c r="S190" s="182"/>
      <c r="T190" s="182"/>
      <c r="U190" s="182"/>
      <c r="V190" s="182"/>
      <c r="W190" s="182"/>
      <c r="X190" s="182"/>
      <c r="Y190" s="182"/>
      <c r="Z190" s="182"/>
      <c r="AA190" s="182"/>
      <c r="AB190" s="184"/>
      <c r="AC190" s="167"/>
      <c r="AD190" s="167"/>
      <c r="AE190" s="167"/>
    </row>
    <row r="191" spans="1:31" s="38" customFormat="1">
      <c r="A191" s="183" t="s">
        <v>519</v>
      </c>
      <c r="B191" s="183" t="s">
        <v>520</v>
      </c>
      <c r="C191" s="181">
        <v>4</v>
      </c>
      <c r="D191" s="181">
        <v>4</v>
      </c>
      <c r="E191" s="181"/>
      <c r="F191" s="182">
        <v>0</v>
      </c>
      <c r="G191" s="182">
        <v>0</v>
      </c>
      <c r="H191" s="182">
        <v>0</v>
      </c>
      <c r="I191" s="182">
        <v>0</v>
      </c>
      <c r="J191" s="182">
        <v>0</v>
      </c>
      <c r="K191" s="182">
        <v>0</v>
      </c>
      <c r="L191" s="182">
        <v>0</v>
      </c>
      <c r="M191" s="182">
        <v>0</v>
      </c>
      <c r="N191" s="182">
        <v>0</v>
      </c>
      <c r="O191" s="182">
        <v>25</v>
      </c>
      <c r="P191" s="178">
        <f t="shared" si="25"/>
        <v>25</v>
      </c>
      <c r="Q191" s="167"/>
      <c r="R191" s="182"/>
      <c r="S191" s="182"/>
      <c r="T191" s="182"/>
      <c r="U191" s="182"/>
      <c r="V191" s="182"/>
      <c r="W191" s="182"/>
      <c r="X191" s="182"/>
      <c r="Y191" s="182"/>
      <c r="Z191" s="182"/>
      <c r="AA191" s="182"/>
      <c r="AB191" s="184"/>
      <c r="AC191" s="167"/>
      <c r="AD191" s="167"/>
      <c r="AE191" s="167"/>
    </row>
    <row r="192" spans="1:31" s="38" customFormat="1">
      <c r="A192" s="183" t="s">
        <v>521</v>
      </c>
      <c r="B192" s="183" t="s">
        <v>522</v>
      </c>
      <c r="C192" s="181">
        <v>87.5</v>
      </c>
      <c r="D192" s="181">
        <v>93.25</v>
      </c>
      <c r="E192" s="181"/>
      <c r="F192" s="182">
        <v>0</v>
      </c>
      <c r="G192" s="182">
        <v>0</v>
      </c>
      <c r="H192" s="182">
        <v>630.88</v>
      </c>
      <c r="I192" s="182">
        <v>0</v>
      </c>
      <c r="J192" s="182">
        <v>0</v>
      </c>
      <c r="K192" s="182">
        <v>0</v>
      </c>
      <c r="L192" s="182">
        <v>0</v>
      </c>
      <c r="M192" s="182">
        <v>0</v>
      </c>
      <c r="N192" s="182">
        <v>0</v>
      </c>
      <c r="O192" s="182">
        <v>0</v>
      </c>
      <c r="P192" s="178">
        <f t="shared" si="25"/>
        <v>630.88</v>
      </c>
      <c r="Q192" s="167"/>
      <c r="R192" s="182"/>
      <c r="S192" s="182"/>
      <c r="T192" s="182"/>
      <c r="U192" s="182"/>
      <c r="V192" s="182"/>
      <c r="W192" s="182"/>
      <c r="X192" s="182"/>
      <c r="Y192" s="182"/>
      <c r="Z192" s="182"/>
      <c r="AA192" s="182"/>
      <c r="AB192" s="184"/>
      <c r="AC192" s="167"/>
      <c r="AD192" s="167"/>
      <c r="AE192" s="167"/>
    </row>
    <row r="193" spans="1:31" s="38" customFormat="1">
      <c r="A193" s="183" t="s">
        <v>523</v>
      </c>
      <c r="B193" s="183" t="s">
        <v>524</v>
      </c>
      <c r="C193" s="181">
        <v>0</v>
      </c>
      <c r="D193" s="181">
        <v>0</v>
      </c>
      <c r="E193" s="181"/>
      <c r="F193" s="182">
        <v>-101.57</v>
      </c>
      <c r="G193" s="182">
        <v>0</v>
      </c>
      <c r="H193" s="182">
        <v>-18.27</v>
      </c>
      <c r="I193" s="182">
        <v>0</v>
      </c>
      <c r="J193" s="182">
        <v>-0.21</v>
      </c>
      <c r="K193" s="182">
        <v>0</v>
      </c>
      <c r="L193" s="182">
        <v>0</v>
      </c>
      <c r="M193" s="182">
        <v>-48.2</v>
      </c>
      <c r="N193" s="182">
        <v>-206.55</v>
      </c>
      <c r="O193" s="182">
        <v>-17.05</v>
      </c>
      <c r="P193" s="178">
        <f t="shared" si="25"/>
        <v>-391.85</v>
      </c>
      <c r="Q193" s="167"/>
      <c r="R193" s="182"/>
      <c r="S193" s="182"/>
      <c r="T193" s="182"/>
      <c r="U193" s="182"/>
      <c r="V193" s="182"/>
      <c r="W193" s="182"/>
      <c r="X193" s="182"/>
      <c r="Y193" s="182"/>
      <c r="Z193" s="182"/>
      <c r="AA193" s="182"/>
      <c r="AB193" s="184"/>
      <c r="AC193" s="167"/>
      <c r="AD193" s="167"/>
      <c r="AE193" s="167"/>
    </row>
    <row r="194" spans="1:31" s="38" customFormat="1">
      <c r="A194" s="183" t="s">
        <v>525</v>
      </c>
      <c r="B194" s="183" t="s">
        <v>526</v>
      </c>
      <c r="C194" s="181">
        <v>0</v>
      </c>
      <c r="D194" s="181">
        <v>0</v>
      </c>
      <c r="E194" s="181"/>
      <c r="F194" s="182">
        <v>-0.11</v>
      </c>
      <c r="G194" s="182">
        <v>1.8</v>
      </c>
      <c r="H194" s="182">
        <v>0</v>
      </c>
      <c r="I194" s="182">
        <v>0</v>
      </c>
      <c r="J194" s="182">
        <v>0</v>
      </c>
      <c r="K194" s="182">
        <v>0</v>
      </c>
      <c r="L194" s="182">
        <v>0</v>
      </c>
      <c r="M194" s="182">
        <v>0</v>
      </c>
      <c r="N194" s="182">
        <v>0</v>
      </c>
      <c r="O194" s="182">
        <v>0</v>
      </c>
      <c r="P194" s="178">
        <f t="shared" si="25"/>
        <v>1.69</v>
      </c>
      <c r="Q194" s="167"/>
      <c r="R194" s="182"/>
      <c r="S194" s="182"/>
      <c r="T194" s="182"/>
      <c r="U194" s="182"/>
      <c r="V194" s="182"/>
      <c r="W194" s="182"/>
      <c r="X194" s="182"/>
      <c r="Y194" s="182"/>
      <c r="Z194" s="182"/>
      <c r="AA194" s="182"/>
      <c r="AB194" s="184"/>
      <c r="AC194" s="167"/>
      <c r="AD194" s="167"/>
      <c r="AE194" s="167"/>
    </row>
    <row r="195" spans="1:31" s="38" customFormat="1">
      <c r="A195" s="183" t="s">
        <v>527</v>
      </c>
      <c r="B195" s="183" t="s">
        <v>528</v>
      </c>
      <c r="C195" s="181">
        <v>125</v>
      </c>
      <c r="D195" s="181">
        <v>125</v>
      </c>
      <c r="E195" s="181"/>
      <c r="F195" s="182">
        <v>0</v>
      </c>
      <c r="G195" s="182">
        <v>0</v>
      </c>
      <c r="H195" s="182">
        <v>0</v>
      </c>
      <c r="I195" s="182">
        <v>93.75</v>
      </c>
      <c r="J195" s="182">
        <v>0</v>
      </c>
      <c r="K195" s="182">
        <v>0</v>
      </c>
      <c r="L195" s="182">
        <v>0</v>
      </c>
      <c r="M195" s="182">
        <v>0</v>
      </c>
      <c r="N195" s="182">
        <v>0</v>
      </c>
      <c r="O195" s="182">
        <v>0</v>
      </c>
      <c r="P195" s="178">
        <f t="shared" si="25"/>
        <v>93.75</v>
      </c>
      <c r="Q195" s="167"/>
      <c r="R195" s="182"/>
      <c r="S195" s="182"/>
      <c r="T195" s="182"/>
      <c r="U195" s="182"/>
      <c r="V195" s="182"/>
      <c r="W195" s="182"/>
      <c r="X195" s="182"/>
      <c r="Y195" s="182"/>
      <c r="Z195" s="182"/>
      <c r="AA195" s="182"/>
      <c r="AB195" s="184"/>
      <c r="AC195" s="167"/>
      <c r="AD195" s="167"/>
      <c r="AE195" s="167"/>
    </row>
    <row r="196" spans="1:31" s="38" customFormat="1">
      <c r="A196" s="183" t="s">
        <v>529</v>
      </c>
      <c r="B196" s="183"/>
      <c r="C196" s="181"/>
      <c r="D196" s="181"/>
      <c r="E196" s="181"/>
      <c r="F196" s="182"/>
      <c r="G196" s="182"/>
      <c r="H196" s="182"/>
      <c r="I196" s="182"/>
      <c r="J196" s="182"/>
      <c r="K196" s="182"/>
      <c r="L196" s="182"/>
      <c r="M196" s="182"/>
      <c r="N196" s="182"/>
      <c r="O196" s="182">
        <v>15.8</v>
      </c>
      <c r="P196" s="178">
        <f t="shared" si="25"/>
        <v>15.8</v>
      </c>
      <c r="Q196" s="167"/>
      <c r="R196" s="182"/>
      <c r="S196" s="182"/>
      <c r="T196" s="182"/>
      <c r="U196" s="182"/>
      <c r="V196" s="182"/>
      <c r="W196" s="182"/>
      <c r="X196" s="182"/>
      <c r="Y196" s="182"/>
      <c r="Z196" s="182"/>
      <c r="AA196" s="182"/>
      <c r="AB196" s="184"/>
      <c r="AC196" s="167"/>
      <c r="AD196" s="167"/>
      <c r="AE196" s="167"/>
    </row>
    <row r="197" spans="1:31" s="38" customFormat="1">
      <c r="A197" s="183" t="s">
        <v>530</v>
      </c>
      <c r="B197" s="183" t="s">
        <v>340</v>
      </c>
      <c r="C197" s="181"/>
      <c r="D197" s="181"/>
      <c r="E197" s="181"/>
      <c r="F197" s="182">
        <v>525.26</v>
      </c>
      <c r="G197" s="182">
        <v>506.55000000000007</v>
      </c>
      <c r="H197" s="182">
        <v>679.62</v>
      </c>
      <c r="I197" s="182">
        <v>701.01999999999987</v>
      </c>
      <c r="J197" s="182">
        <v>398.03999999999996</v>
      </c>
      <c r="K197" s="182">
        <v>411.34999999999997</v>
      </c>
      <c r="L197" s="182">
        <v>535.04</v>
      </c>
      <c r="M197" s="182">
        <v>559.15</v>
      </c>
      <c r="N197" s="182">
        <v>560.1</v>
      </c>
      <c r="O197" s="182">
        <v>1352.04</v>
      </c>
      <c r="P197" s="178">
        <f t="shared" si="25"/>
        <v>6228.17</v>
      </c>
      <c r="Q197" s="167"/>
      <c r="R197" s="182"/>
      <c r="S197" s="182"/>
      <c r="T197" s="182"/>
      <c r="U197" s="182"/>
      <c r="V197" s="182"/>
      <c r="W197" s="182"/>
      <c r="X197" s="182"/>
      <c r="Y197" s="182"/>
      <c r="Z197" s="182"/>
      <c r="AA197" s="182"/>
      <c r="AB197" s="184"/>
      <c r="AC197" s="167"/>
      <c r="AD197" s="167"/>
      <c r="AE197" s="167"/>
    </row>
    <row r="198" spans="1:31" s="38" customFormat="1">
      <c r="A198" s="194"/>
      <c r="B198" s="194"/>
      <c r="C198" s="181"/>
      <c r="D198" s="181"/>
      <c r="E198" s="181"/>
      <c r="F198" s="182"/>
      <c r="G198" s="182"/>
      <c r="H198" s="182"/>
      <c r="I198" s="182"/>
      <c r="J198" s="182"/>
      <c r="K198" s="182"/>
      <c r="L198" s="182"/>
      <c r="M198" s="182"/>
      <c r="N198" s="182"/>
      <c r="O198" s="182"/>
      <c r="P198" s="178"/>
      <c r="Q198" s="167"/>
      <c r="R198" s="182"/>
      <c r="S198" s="182"/>
      <c r="T198" s="182"/>
      <c r="U198" s="182"/>
      <c r="V198" s="182"/>
      <c r="W198" s="182"/>
      <c r="X198" s="182"/>
      <c r="Y198" s="182"/>
      <c r="Z198" s="182"/>
      <c r="AA198" s="182"/>
      <c r="AB198" s="184"/>
      <c r="AC198" s="167"/>
      <c r="AD198" s="167"/>
      <c r="AE198" s="167"/>
    </row>
    <row r="199" spans="1:31" s="38" customFormat="1">
      <c r="A199" s="194"/>
      <c r="B199" s="195" t="s">
        <v>531</v>
      </c>
      <c r="C199" s="181"/>
      <c r="D199" s="181"/>
      <c r="E199" s="181"/>
      <c r="F199" s="196">
        <f t="shared" ref="F199:N199" si="29">SUM(F98:F197)</f>
        <v>69705.95</v>
      </c>
      <c r="G199" s="196">
        <f t="shared" si="29"/>
        <v>67361.790000000008</v>
      </c>
      <c r="H199" s="196">
        <f t="shared" si="29"/>
        <v>67650.610000000015</v>
      </c>
      <c r="I199" s="196">
        <f t="shared" si="29"/>
        <v>69968.12</v>
      </c>
      <c r="J199" s="196">
        <f t="shared" si="29"/>
        <v>66982.849999999977</v>
      </c>
      <c r="K199" s="196">
        <f t="shared" si="29"/>
        <v>69220.880000000019</v>
      </c>
      <c r="L199" s="196">
        <f t="shared" si="29"/>
        <v>70999.790000000008</v>
      </c>
      <c r="M199" s="196">
        <f t="shared" si="29"/>
        <v>74106.580000000031</v>
      </c>
      <c r="N199" s="196">
        <f t="shared" si="29"/>
        <v>74063.869999999952</v>
      </c>
      <c r="O199" s="196">
        <f>SUM(O98:O197)</f>
        <v>242429.70999999993</v>
      </c>
      <c r="P199" s="189">
        <f>SUM(P98:P198)</f>
        <v>872490.14999999991</v>
      </c>
      <c r="Q199" s="167"/>
      <c r="R199" s="182"/>
      <c r="S199" s="182"/>
      <c r="T199" s="182"/>
      <c r="U199" s="182"/>
      <c r="V199" s="182"/>
      <c r="W199" s="182"/>
      <c r="X199" s="182"/>
      <c r="Y199" s="182"/>
      <c r="Z199" s="182"/>
      <c r="AA199" s="182"/>
      <c r="AB199" s="184"/>
      <c r="AC199" s="167"/>
      <c r="AD199" s="167"/>
      <c r="AE199" s="167"/>
    </row>
    <row r="200" spans="1:31" s="38" customFormat="1">
      <c r="A200" s="194"/>
      <c r="B200" s="194"/>
      <c r="C200" s="181"/>
      <c r="D200" s="181"/>
      <c r="E200" s="181"/>
      <c r="F200" s="182"/>
      <c r="G200" s="182"/>
      <c r="H200" s="182"/>
      <c r="I200" s="182"/>
      <c r="J200" s="182"/>
      <c r="K200" s="182"/>
      <c r="L200" s="182"/>
      <c r="M200" s="182"/>
      <c r="N200" s="182"/>
      <c r="O200" s="182"/>
      <c r="P200" s="178"/>
      <c r="Q200" s="167"/>
      <c r="R200" s="182"/>
      <c r="S200" s="182"/>
      <c r="T200" s="182"/>
      <c r="U200" s="182"/>
      <c r="V200" s="182"/>
      <c r="W200" s="182"/>
      <c r="X200" s="182"/>
      <c r="Y200" s="182"/>
      <c r="Z200" s="182"/>
      <c r="AA200" s="182"/>
      <c r="AB200" s="184"/>
      <c r="AC200" s="167"/>
      <c r="AD200" s="167"/>
      <c r="AE200" s="167"/>
    </row>
  </sheetData>
  <mergeCells count="1">
    <mergeCell ref="A4:G4"/>
  </mergeCells>
  <pageMargins left="0.7" right="0.7" top="0.75" bottom="0.75" header="0.3" footer="0.3"/>
  <pageSetup scale="68" fitToHeight="0" orientation="portrait" r:id="rId1"/>
  <headerFooter>
    <oddFooter>&amp;L&amp;F - &amp;A&amp;R&amp;P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TG</Prefix>
    <DocumentSetType xmlns="dc463f71-b30c-4ab2-9473-d307f9d35888">Workpapers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227</IndustryCode>
    <CaseStatus xmlns="dc463f71-b30c-4ab2-9473-d307f9d35888">Closed</CaseStatus>
    <OpenedDate xmlns="dc463f71-b30c-4ab2-9473-d307f9d35888">2016-11-15T08:00:00+00:00</OpenedDate>
    <Date1 xmlns="dc463f71-b30c-4ab2-9473-d307f9d35888">2016-11-15T08:00:00+00:00</Date1>
    <IsDocumentOrder xmlns="dc463f71-b30c-4ab2-9473-d307f9d35888" xsi:nil="true"/>
    <IsHighlyConfidential xmlns="dc463f71-b30c-4ab2-9473-d307f9d35888">false</IsHighlyConfidential>
    <CaseCompanyNames xmlns="dc463f71-b30c-4ab2-9473-d307f9d35888">HAROLD LEMAY ENTERPRISES, INC.</CaseCompanyNames>
    <DocketNumber xmlns="dc463f71-b30c-4ab2-9473-d307f9d35888">161209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37299172F829014CB818DBB7F18620AB" ma:contentTypeVersion="104" ma:contentTypeDescription="" ma:contentTypeScope="" ma:versionID="213c64f2895463f65ca9b83b359307cf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c67bbc6b01ef53d9eb67ed595f238ae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B67946F6-253B-40F3-ADF9-DBD760147FC0}">
  <ds:schemaRefs>
    <ds:schemaRef ds:uri="http://www.w3.org/XML/1998/namespace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BB004234-6212-4CA4-9460-C842FA32B2F9}"/>
</file>

<file path=customXml/itemProps3.xml><?xml version="1.0" encoding="utf-8"?>
<ds:datastoreItem xmlns:ds="http://schemas.openxmlformats.org/officeDocument/2006/customXml" ds:itemID="{9A7CCDAC-5E1F-495F-8818-BFE4B0691892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3887AF3B-E47E-467E-94CF-699D8602490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References</vt:lpstr>
      <vt:lpstr>Gray's DF Calc</vt:lpstr>
      <vt:lpstr>Proposed Rates</vt:lpstr>
      <vt:lpstr>Disposal Schedule</vt:lpstr>
      <vt:lpstr>Company Regulated Cust Count</vt:lpstr>
      <vt:lpstr>'Gray''s DF Calc'!Print_Area</vt:lpstr>
      <vt:lpstr>'Gray''s DF Calc'!Print_Titles</vt:lpstr>
      <vt:lpstr>'Proposed Rates'!Print_Titles</vt:lpstr>
    </vt:vector>
  </TitlesOfParts>
  <Company>Washington Utilities and Transportation Commission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Young</dc:creator>
  <cp:lastModifiedBy>Daniel, Jessica (UTC)</cp:lastModifiedBy>
  <cp:lastPrinted>2016-11-14T23:31:38Z</cp:lastPrinted>
  <dcterms:created xsi:type="dcterms:W3CDTF">2013-10-29T22:33:54Z</dcterms:created>
  <dcterms:modified xsi:type="dcterms:W3CDTF">2016-11-15T19:36:19Z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0x0101006E56B4D1795A2E4DB2F0B01679ED314A0037299172F829014CB818DBB7F18620AB</vt:lpwstr>
  </property>
  <property fmtid="{D5CDD505-2E9C-101B-9397-08002B2CF9AE}" pid="3" name="_docset_NoMedatataSyncRequired">
    <vt:lpwstr>False</vt:lpwstr>
  </property>
</Properties>
</file>