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6900" yWindow="-15" windowWidth="6930" windowHeight="7110" activeTab="2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</sheets>
  <externalReferences>
    <externalReference r:id="rId6"/>
  </externalReferences>
  <definedNames>
    <definedName name="_xlnm.Print_Area" localSheetId="2">Composition!$A$1:$AA$18</definedName>
    <definedName name="_xlnm.Print_Area" localSheetId="3">Prices!$A$1:$K$15</definedName>
    <definedName name="_xlnm.Print_Area" localSheetId="0">'Rebate Calculation'!$A$1:$G$54</definedName>
    <definedName name="_xlnm.Print_Area" localSheetId="4">'Res''l &amp; MF Customers'!$A$1:$P$27</definedName>
    <definedName name="_xlnm.Print_Area" localSheetId="1">'Tons &amp; Revenue'!$A$1:$M$140</definedName>
    <definedName name="_xlnm.Print_Titles" localSheetId="1">'Tons &amp; Revenue'!$1:$3</definedName>
  </definedNames>
  <calcPr calcId="145621"/>
</workbook>
</file>

<file path=xl/calcChain.xml><?xml version="1.0" encoding="utf-8"?>
<calcChain xmlns="http://schemas.openxmlformats.org/spreadsheetml/2006/main">
  <c r="AC20" i="36" l="1"/>
  <c r="AC18" i="36"/>
  <c r="AC16" i="36"/>
  <c r="D20" i="36"/>
  <c r="F20" i="36"/>
  <c r="H20" i="36"/>
  <c r="J20" i="36"/>
  <c r="L20" i="36"/>
  <c r="N20" i="36"/>
  <c r="P20" i="36"/>
  <c r="R20" i="36"/>
  <c r="T20" i="36"/>
  <c r="V20" i="36"/>
  <c r="X20" i="36"/>
  <c r="Z20" i="36"/>
  <c r="AA18" i="36"/>
  <c r="Y18" i="36"/>
  <c r="W18" i="36"/>
  <c r="U18" i="36"/>
  <c r="S18" i="36"/>
  <c r="Q18" i="36"/>
  <c r="O18" i="36"/>
  <c r="M18" i="36"/>
  <c r="K18" i="36"/>
  <c r="I18" i="36"/>
  <c r="Z18" i="36"/>
  <c r="G18" i="36"/>
  <c r="E18" i="36"/>
  <c r="C18" i="36"/>
  <c r="B20" i="36"/>
  <c r="P23" i="40" l="1"/>
  <c r="D27" i="40"/>
  <c r="E27" i="40"/>
  <c r="C36" i="35" s="1"/>
  <c r="F27" i="40"/>
  <c r="G27" i="40"/>
  <c r="H27" i="40"/>
  <c r="I27" i="40"/>
  <c r="J27" i="40"/>
  <c r="K27" i="40"/>
  <c r="L27" i="40"/>
  <c r="M27" i="40"/>
  <c r="N27" i="40"/>
  <c r="C27" i="40"/>
  <c r="C35" i="35" l="1"/>
  <c r="P27" i="40"/>
  <c r="C10" i="35" l="1"/>
  <c r="C9" i="35"/>
  <c r="D12" i="40"/>
  <c r="D16" i="40" s="1"/>
  <c r="D18" i="40" s="1"/>
  <c r="D20" i="40" s="1"/>
  <c r="F10" i="33" s="1"/>
  <c r="E12" i="40"/>
  <c r="E16" i="40" s="1"/>
  <c r="E18" i="40" s="1"/>
  <c r="E20" i="40" s="1"/>
  <c r="F11" i="33" s="1"/>
  <c r="F12" i="40"/>
  <c r="F16" i="40" s="1"/>
  <c r="F18" i="40" s="1"/>
  <c r="F20" i="40" s="1"/>
  <c r="F12" i="33" s="1"/>
  <c r="G12" i="40"/>
  <c r="G16" i="40" s="1"/>
  <c r="G18" i="40" s="1"/>
  <c r="G20" i="40" s="1"/>
  <c r="F13" i="33" s="1"/>
  <c r="H12" i="40"/>
  <c r="H16" i="40" s="1"/>
  <c r="H18" i="40" s="1"/>
  <c r="H20" i="40" s="1"/>
  <c r="F14" i="33" s="1"/>
  <c r="I12" i="40"/>
  <c r="I16" i="40" s="1"/>
  <c r="I18" i="40" s="1"/>
  <c r="I20" i="40" s="1"/>
  <c r="F15" i="33" s="1"/>
  <c r="J12" i="40"/>
  <c r="J16" i="40" s="1"/>
  <c r="J18" i="40" s="1"/>
  <c r="J20" i="40" s="1"/>
  <c r="F16" i="33" s="1"/>
  <c r="K12" i="40"/>
  <c r="K16" i="40" s="1"/>
  <c r="K18" i="40" s="1"/>
  <c r="K20" i="40" s="1"/>
  <c r="F17" i="33" s="1"/>
  <c r="L12" i="40"/>
  <c r="L16" i="40" s="1"/>
  <c r="L18" i="40" s="1"/>
  <c r="L20" i="40" s="1"/>
  <c r="F18" i="33" s="1"/>
  <c r="M12" i="40"/>
  <c r="M16" i="40" s="1"/>
  <c r="M18" i="40" s="1"/>
  <c r="M20" i="40" s="1"/>
  <c r="F19" i="33" s="1"/>
  <c r="N12" i="40"/>
  <c r="N16" i="40" s="1"/>
  <c r="N18" i="40" s="1"/>
  <c r="N20" i="40" s="1"/>
  <c r="F20" i="33" s="1"/>
  <c r="C12" i="40"/>
  <c r="C16" i="40" s="1"/>
  <c r="C18" i="40" s="1"/>
  <c r="C20" i="40" s="1"/>
  <c r="F9" i="33" s="1"/>
  <c r="C37" i="35" l="1"/>
  <c r="F43" i="35" s="1"/>
  <c r="C11" i="35"/>
  <c r="F17" i="35" s="1"/>
  <c r="T16" i="36"/>
  <c r="U13" i="36" s="1"/>
  <c r="X16" i="36"/>
  <c r="Y13" i="36" s="1"/>
  <c r="R16" i="36"/>
  <c r="S12" i="36" s="1"/>
  <c r="V16" i="36"/>
  <c r="W15" i="36" s="1"/>
  <c r="D16" i="36"/>
  <c r="E15" i="36" s="1"/>
  <c r="F16" i="36"/>
  <c r="G13" i="36" s="1"/>
  <c r="H16" i="36"/>
  <c r="I14" i="36" s="1"/>
  <c r="J16" i="36"/>
  <c r="K6" i="36" s="1"/>
  <c r="L16" i="36"/>
  <c r="M15" i="36" s="1"/>
  <c r="N16" i="36"/>
  <c r="O13" i="36" s="1"/>
  <c r="I13" i="36" l="1"/>
  <c r="G8" i="36"/>
  <c r="G10" i="36"/>
  <c r="H30" i="33" s="1"/>
  <c r="G15" i="36"/>
  <c r="M9" i="36"/>
  <c r="K8" i="36"/>
  <c r="G11" i="36"/>
  <c r="G30" i="33" s="1"/>
  <c r="G6" i="36"/>
  <c r="G7" i="36"/>
  <c r="G12" i="36"/>
  <c r="G14" i="36"/>
  <c r="E9" i="36"/>
  <c r="W9" i="36"/>
  <c r="W13" i="36"/>
  <c r="Y7" i="36"/>
  <c r="Y11" i="36"/>
  <c r="G39" i="33" s="1"/>
  <c r="Y15" i="36"/>
  <c r="W10" i="36"/>
  <c r="H38" i="33" s="1"/>
  <c r="W6" i="36"/>
  <c r="W14" i="36"/>
  <c r="U12" i="36"/>
  <c r="U7" i="36"/>
  <c r="U15" i="36"/>
  <c r="U8" i="36"/>
  <c r="U11" i="36"/>
  <c r="G37" i="33" s="1"/>
  <c r="S10" i="36"/>
  <c r="H36" i="33" s="1"/>
  <c r="S15" i="36"/>
  <c r="S6" i="36"/>
  <c r="S11" i="36"/>
  <c r="G36" i="33" s="1"/>
  <c r="S7" i="36"/>
  <c r="S13" i="36"/>
  <c r="S9" i="36"/>
  <c r="S14" i="36"/>
  <c r="O6" i="36"/>
  <c r="O10" i="36"/>
  <c r="H34" i="33" s="1"/>
  <c r="O15" i="36"/>
  <c r="O11" i="36"/>
  <c r="G34" i="33" s="1"/>
  <c r="O7" i="36"/>
  <c r="O12" i="36"/>
  <c r="O8" i="36"/>
  <c r="O14" i="36"/>
  <c r="F24" i="35"/>
  <c r="F50" i="35"/>
  <c r="M12" i="36"/>
  <c r="Y8" i="36"/>
  <c r="Y12" i="36"/>
  <c r="E13" i="36"/>
  <c r="K12" i="36"/>
  <c r="M13" i="36"/>
  <c r="E8" i="36"/>
  <c r="I12" i="36"/>
  <c r="M8" i="36"/>
  <c r="S8" i="36"/>
  <c r="U6" i="36"/>
  <c r="U10" i="36"/>
  <c r="H37" i="33" s="1"/>
  <c r="U14" i="36"/>
  <c r="W8" i="36"/>
  <c r="W12" i="36"/>
  <c r="Y6" i="36"/>
  <c r="Y10" i="36"/>
  <c r="H39" i="33" s="1"/>
  <c r="Y14" i="36"/>
  <c r="E12" i="36"/>
  <c r="U9" i="36"/>
  <c r="W7" i="36"/>
  <c r="W11" i="36"/>
  <c r="G38" i="33" s="1"/>
  <c r="Y9" i="36"/>
  <c r="P16" i="36"/>
  <c r="K9" i="36"/>
  <c r="I8" i="36"/>
  <c r="K10" i="36"/>
  <c r="H32" i="33" s="1"/>
  <c r="K14" i="36"/>
  <c r="G9" i="36"/>
  <c r="I9" i="36"/>
  <c r="K7" i="36"/>
  <c r="K11" i="36"/>
  <c r="G32" i="33" s="1"/>
  <c r="K15" i="36"/>
  <c r="O9" i="36"/>
  <c r="K13" i="36"/>
  <c r="E6" i="36"/>
  <c r="E10" i="36"/>
  <c r="H29" i="33" s="1"/>
  <c r="E14" i="36"/>
  <c r="I6" i="36"/>
  <c r="I10" i="36"/>
  <c r="H31" i="33" s="1"/>
  <c r="M6" i="36"/>
  <c r="M10" i="36"/>
  <c r="H33" i="33" s="1"/>
  <c r="M14" i="36"/>
  <c r="E7" i="36"/>
  <c r="E11" i="36"/>
  <c r="G29" i="33" s="1"/>
  <c r="I7" i="36"/>
  <c r="I11" i="36"/>
  <c r="G31" i="33" s="1"/>
  <c r="I15" i="36"/>
  <c r="M7" i="36"/>
  <c r="M11" i="36"/>
  <c r="G33" i="33" s="1"/>
  <c r="G16" i="36" l="1"/>
  <c r="W16" i="36"/>
  <c r="U16" i="36"/>
  <c r="S16" i="36"/>
  <c r="O16" i="36"/>
  <c r="K16" i="36"/>
  <c r="Q9" i="36"/>
  <c r="Q12" i="36"/>
  <c r="Q11" i="36"/>
  <c r="G35" i="33" s="1"/>
  <c r="Q14" i="36"/>
  <c r="Q10" i="36"/>
  <c r="H35" i="33" s="1"/>
  <c r="Q6" i="36"/>
  <c r="Q13" i="36"/>
  <c r="Q8" i="36"/>
  <c r="Q15" i="36"/>
  <c r="Q7" i="36"/>
  <c r="Y16" i="36"/>
  <c r="M16" i="36"/>
  <c r="E16" i="36"/>
  <c r="I16" i="36"/>
  <c r="Q16" i="36" l="1"/>
  <c r="C91" i="35" l="1"/>
  <c r="D53" i="33"/>
  <c r="E53" i="33"/>
  <c r="G53" i="33"/>
  <c r="H53" i="33"/>
  <c r="I53" i="33"/>
  <c r="K53" i="33"/>
  <c r="L53" i="33"/>
  <c r="C43" i="33"/>
  <c r="D43" i="33"/>
  <c r="E43" i="33"/>
  <c r="F43" i="33"/>
  <c r="G43" i="33"/>
  <c r="H43" i="33"/>
  <c r="I43" i="33"/>
  <c r="J43" i="33"/>
  <c r="K43" i="33"/>
  <c r="L43" i="33"/>
  <c r="C44" i="33"/>
  <c r="D44" i="33"/>
  <c r="E44" i="33"/>
  <c r="F44" i="33"/>
  <c r="G44" i="33"/>
  <c r="H44" i="33"/>
  <c r="I44" i="33"/>
  <c r="J44" i="33"/>
  <c r="K44" i="33"/>
  <c r="L44" i="33"/>
  <c r="C45" i="33"/>
  <c r="D45" i="33"/>
  <c r="E45" i="33"/>
  <c r="F45" i="33"/>
  <c r="G45" i="33"/>
  <c r="H45" i="33"/>
  <c r="I45" i="33"/>
  <c r="J45" i="33"/>
  <c r="K45" i="33"/>
  <c r="L45" i="33"/>
  <c r="C46" i="33"/>
  <c r="D46" i="33"/>
  <c r="E46" i="33"/>
  <c r="F46" i="33"/>
  <c r="G46" i="33"/>
  <c r="H46" i="33"/>
  <c r="I46" i="33"/>
  <c r="J46" i="33"/>
  <c r="K46" i="33"/>
  <c r="L46" i="33"/>
  <c r="C47" i="33"/>
  <c r="D47" i="33"/>
  <c r="E47" i="33"/>
  <c r="F47" i="33"/>
  <c r="G47" i="33"/>
  <c r="H47" i="33"/>
  <c r="I47" i="33"/>
  <c r="J47" i="33"/>
  <c r="K47" i="33"/>
  <c r="L47" i="33"/>
  <c r="C48" i="33"/>
  <c r="D48" i="33"/>
  <c r="E48" i="33"/>
  <c r="F48" i="33"/>
  <c r="G48" i="33"/>
  <c r="H48" i="33"/>
  <c r="I48" i="33"/>
  <c r="J48" i="33"/>
  <c r="K48" i="33"/>
  <c r="L48" i="33"/>
  <c r="C49" i="33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C52" i="33"/>
  <c r="D52" i="33"/>
  <c r="E52" i="33"/>
  <c r="F52" i="33"/>
  <c r="G52" i="33"/>
  <c r="H52" i="33"/>
  <c r="I52" i="33"/>
  <c r="J52" i="33"/>
  <c r="K52" i="33"/>
  <c r="L52" i="33"/>
  <c r="C53" i="33"/>
  <c r="F53" i="33"/>
  <c r="J53" i="33"/>
  <c r="H42" i="33"/>
  <c r="F97" i="35" l="1"/>
  <c r="F104" i="35"/>
  <c r="C65" i="35"/>
  <c r="F78" i="35" s="1"/>
  <c r="F71" i="35" l="1"/>
  <c r="J42" i="33" l="1"/>
  <c r="K42" i="33"/>
  <c r="L42" i="33"/>
  <c r="I42" i="33"/>
  <c r="D42" i="33"/>
  <c r="E42" i="33"/>
  <c r="F42" i="33"/>
  <c r="G42" i="33"/>
  <c r="C42" i="33"/>
  <c r="D15" i="33" l="1"/>
  <c r="C15" i="33" s="1"/>
  <c r="D14" i="33" l="1"/>
  <c r="C14" i="33" s="1"/>
  <c r="D13" i="33" l="1"/>
  <c r="C13" i="33" s="1"/>
  <c r="D12" i="33" l="1"/>
  <c r="C12" i="33" s="1"/>
  <c r="D11" i="33" l="1"/>
  <c r="C11" i="33" s="1"/>
  <c r="D10" i="33" l="1"/>
  <c r="C10" i="33" s="1"/>
  <c r="D9" i="33" l="1"/>
  <c r="D16" i="33" l="1"/>
  <c r="C16" i="33" l="1"/>
  <c r="D17" i="33"/>
  <c r="C17" i="33" l="1"/>
  <c r="D18" i="33"/>
  <c r="C18" i="33" l="1"/>
  <c r="D19" i="33" l="1"/>
  <c r="F211" i="35"/>
  <c r="G213" i="35" s="1"/>
  <c r="C199" i="35"/>
  <c r="F205" i="35" s="1"/>
  <c r="G207" i="35" s="1"/>
  <c r="F198" i="35"/>
  <c r="F197" i="35"/>
  <c r="E143" i="35"/>
  <c r="F185" i="35"/>
  <c r="G187" i="35" s="1"/>
  <c r="E118" i="35" s="1"/>
  <c r="E63" i="35" s="1"/>
  <c r="F63" i="35" s="1"/>
  <c r="C173" i="35"/>
  <c r="F172" i="35"/>
  <c r="F171" i="35"/>
  <c r="E117" i="35"/>
  <c r="D20" i="33" l="1"/>
  <c r="C19" i="33"/>
  <c r="F199" i="35"/>
  <c r="F173" i="35"/>
  <c r="F177" i="35" s="1"/>
  <c r="G215" i="35"/>
  <c r="E144" i="35"/>
  <c r="E89" i="35" s="1"/>
  <c r="F89" i="35" s="1"/>
  <c r="F179" i="35"/>
  <c r="C20" i="33" l="1"/>
  <c r="G181" i="35"/>
  <c r="G190" i="35" s="1"/>
  <c r="D21" i="33"/>
  <c r="F144" i="35" l="1"/>
  <c r="F117" i="35"/>
  <c r="C119" i="35"/>
  <c r="F132" i="35" s="1"/>
  <c r="F118" i="35"/>
  <c r="F119" i="35" l="1"/>
  <c r="C145" i="35"/>
  <c r="F143" i="35"/>
  <c r="F145" i="35" s="1"/>
  <c r="F125" i="35"/>
  <c r="F151" i="35" l="1"/>
  <c r="F158" i="35"/>
  <c r="F29" i="33"/>
  <c r="E29" i="33"/>
  <c r="I29" i="33"/>
  <c r="L29" i="33"/>
  <c r="K29" i="33"/>
  <c r="D29" i="33"/>
  <c r="J29" i="33"/>
  <c r="E10" i="33"/>
  <c r="G10" i="33" l="1"/>
  <c r="H10" i="33" s="1"/>
  <c r="C29" i="33"/>
  <c r="D61" i="33" l="1"/>
  <c r="L61" i="33"/>
  <c r="J61" i="33"/>
  <c r="F61" i="33"/>
  <c r="F77" i="33" s="1"/>
  <c r="F112" i="33" s="1"/>
  <c r="I61" i="33"/>
  <c r="I77" i="33" s="1"/>
  <c r="I112" i="33" s="1"/>
  <c r="K61" i="33"/>
  <c r="E61" i="33"/>
  <c r="G61" i="33"/>
  <c r="G77" i="33" s="1"/>
  <c r="G112" i="33" s="1"/>
  <c r="H61" i="33"/>
  <c r="H77" i="33" s="1"/>
  <c r="H112" i="33" s="1"/>
  <c r="K77" i="33"/>
  <c r="K112" i="33" s="1"/>
  <c r="J77" i="33"/>
  <c r="J112" i="33" s="1"/>
  <c r="L77" i="33"/>
  <c r="L112" i="33" s="1"/>
  <c r="D77" i="33"/>
  <c r="D112" i="33" s="1"/>
  <c r="C61" i="33"/>
  <c r="E77" i="33"/>
  <c r="E112" i="33" s="1"/>
  <c r="G93" i="33" l="1"/>
  <c r="G128" i="33" s="1"/>
  <c r="H93" i="33"/>
  <c r="H128" i="33" s="1"/>
  <c r="J93" i="33"/>
  <c r="J128" i="33" s="1"/>
  <c r="I93" i="33"/>
  <c r="I128" i="33" s="1"/>
  <c r="K93" i="33"/>
  <c r="K128" i="33" s="1"/>
  <c r="D93" i="33"/>
  <c r="D128" i="33" s="1"/>
  <c r="M61" i="33"/>
  <c r="C77" i="33"/>
  <c r="C93" i="33" s="1"/>
  <c r="E93" i="33"/>
  <c r="E128" i="33" s="1"/>
  <c r="F93" i="33"/>
  <c r="F128" i="33" s="1"/>
  <c r="L93" i="33"/>
  <c r="L128" i="33" s="1"/>
  <c r="C128" i="33" l="1"/>
  <c r="M128" i="33" s="1"/>
  <c r="M93" i="33"/>
  <c r="C112" i="33"/>
  <c r="M112" i="33" s="1"/>
  <c r="M77" i="33"/>
  <c r="K30" i="33"/>
  <c r="E30" i="33"/>
  <c r="J30" i="33"/>
  <c r="I30" i="33"/>
  <c r="F30" i="33"/>
  <c r="L30" i="33"/>
  <c r="D30" i="33"/>
  <c r="E11" i="33"/>
  <c r="G11" i="33" l="1"/>
  <c r="H11" i="33" s="1"/>
  <c r="C30" i="33"/>
  <c r="F62" i="33" l="1"/>
  <c r="L62" i="33"/>
  <c r="D62" i="33"/>
  <c r="D78" i="33" s="1"/>
  <c r="D113" i="33" s="1"/>
  <c r="J62" i="33"/>
  <c r="J78" i="33" s="1"/>
  <c r="J113" i="33" s="1"/>
  <c r="K62" i="33"/>
  <c r="K78" i="33" s="1"/>
  <c r="K113" i="33" s="1"/>
  <c r="I62" i="33"/>
  <c r="I78" i="33" s="1"/>
  <c r="I113" i="33" s="1"/>
  <c r="G62" i="33"/>
  <c r="G78" i="33" s="1"/>
  <c r="G113" i="33" s="1"/>
  <c r="E62" i="33"/>
  <c r="E78" i="33" s="1"/>
  <c r="E113" i="33" s="1"/>
  <c r="H62" i="33"/>
  <c r="L78" i="33"/>
  <c r="L113" i="33" s="1"/>
  <c r="F78" i="33"/>
  <c r="F113" i="33" s="1"/>
  <c r="C62" i="33"/>
  <c r="H78" i="33"/>
  <c r="H113" i="33" s="1"/>
  <c r="I94" i="33" l="1"/>
  <c r="I129" i="33" s="1"/>
  <c r="H94" i="33"/>
  <c r="H129" i="33" s="1"/>
  <c r="F94" i="33"/>
  <c r="F129" i="33" s="1"/>
  <c r="G94" i="33"/>
  <c r="G129" i="33" s="1"/>
  <c r="E94" i="33"/>
  <c r="E129" i="33" s="1"/>
  <c r="L94" i="33"/>
  <c r="L129" i="33" s="1"/>
  <c r="D94" i="33"/>
  <c r="D129" i="33" s="1"/>
  <c r="C78" i="33"/>
  <c r="C94" i="33" s="1"/>
  <c r="M62" i="33"/>
  <c r="J94" i="33"/>
  <c r="J129" i="33" s="1"/>
  <c r="K94" i="33"/>
  <c r="K129" i="33" s="1"/>
  <c r="M94" i="33" l="1"/>
  <c r="C129" i="33"/>
  <c r="M129" i="33" s="1"/>
  <c r="M78" i="33"/>
  <c r="C113" i="33"/>
  <c r="M113" i="33" s="1"/>
  <c r="F31" i="33"/>
  <c r="E31" i="33"/>
  <c r="L31" i="33"/>
  <c r="I31" i="33"/>
  <c r="D31" i="33"/>
  <c r="K31" i="33"/>
  <c r="J31" i="33"/>
  <c r="E12" i="33"/>
  <c r="C31" i="33"/>
  <c r="G12" i="33" l="1"/>
  <c r="H12" i="33" s="1"/>
  <c r="L63" i="33" l="1"/>
  <c r="C63" i="33"/>
  <c r="C79" i="33" s="1"/>
  <c r="C95" i="33" s="1"/>
  <c r="K63" i="33"/>
  <c r="K79" i="33" s="1"/>
  <c r="K114" i="33" s="1"/>
  <c r="D63" i="33"/>
  <c r="D79" i="33" s="1"/>
  <c r="D114" i="33" s="1"/>
  <c r="H63" i="33"/>
  <c r="H79" i="33" s="1"/>
  <c r="H114" i="33" s="1"/>
  <c r="J63" i="33"/>
  <c r="E63" i="33"/>
  <c r="E79" i="33" s="1"/>
  <c r="E114" i="33" s="1"/>
  <c r="F63" i="33"/>
  <c r="F79" i="33" s="1"/>
  <c r="F114" i="33" s="1"/>
  <c r="I63" i="33"/>
  <c r="G63" i="33"/>
  <c r="I79" i="33"/>
  <c r="I114" i="33" s="1"/>
  <c r="J79" i="33"/>
  <c r="J114" i="33" s="1"/>
  <c r="L79" i="33"/>
  <c r="L114" i="33" s="1"/>
  <c r="G79" i="33"/>
  <c r="G114" i="33" s="1"/>
  <c r="M63" i="33" l="1"/>
  <c r="H95" i="33"/>
  <c r="H130" i="33" s="1"/>
  <c r="F95" i="33"/>
  <c r="F130" i="33" s="1"/>
  <c r="I95" i="33"/>
  <c r="I130" i="33" s="1"/>
  <c r="J95" i="33"/>
  <c r="J130" i="33" s="1"/>
  <c r="C130" i="33"/>
  <c r="E95" i="33"/>
  <c r="E130" i="33" s="1"/>
  <c r="D95" i="33"/>
  <c r="D130" i="33" s="1"/>
  <c r="M79" i="33"/>
  <c r="C114" i="33"/>
  <c r="M114" i="33" s="1"/>
  <c r="G95" i="33"/>
  <c r="G130" i="33" s="1"/>
  <c r="L95" i="33"/>
  <c r="L130" i="33" s="1"/>
  <c r="K95" i="33"/>
  <c r="K130" i="33" s="1"/>
  <c r="M130" i="33" l="1"/>
  <c r="M95" i="33"/>
  <c r="L32" i="33"/>
  <c r="I32" i="33"/>
  <c r="D32" i="33"/>
  <c r="J32" i="33"/>
  <c r="E32" i="33"/>
  <c r="F32" i="33"/>
  <c r="K32" i="33"/>
  <c r="C32" i="33"/>
  <c r="E13" i="33"/>
  <c r="G13" i="33" l="1"/>
  <c r="H13" i="33" s="1"/>
  <c r="I64" i="33" l="1"/>
  <c r="C64" i="33"/>
  <c r="H64" i="33"/>
  <c r="H80" i="33" s="1"/>
  <c r="H115" i="33" s="1"/>
  <c r="F64" i="33"/>
  <c r="F80" i="33" s="1"/>
  <c r="F115" i="33" s="1"/>
  <c r="G64" i="33"/>
  <c r="G80" i="33" s="1"/>
  <c r="G115" i="33" s="1"/>
  <c r="J64" i="33"/>
  <c r="D64" i="33"/>
  <c r="D80" i="33" s="1"/>
  <c r="D115" i="33" s="1"/>
  <c r="K64" i="33"/>
  <c r="K80" i="33" s="1"/>
  <c r="K115" i="33" s="1"/>
  <c r="E64" i="33"/>
  <c r="E80" i="33" s="1"/>
  <c r="E115" i="33" s="1"/>
  <c r="L64" i="33"/>
  <c r="L80" i="33" s="1"/>
  <c r="L115" i="33" s="1"/>
  <c r="C80" i="33"/>
  <c r="I80" i="33"/>
  <c r="I115" i="33" s="1"/>
  <c r="J80" i="33"/>
  <c r="J115" i="33" s="1"/>
  <c r="M64" i="33" l="1"/>
  <c r="E96" i="33"/>
  <c r="E131" i="33" s="1"/>
  <c r="I96" i="33"/>
  <c r="I131" i="33" s="1"/>
  <c r="H96" i="33"/>
  <c r="H131" i="33" s="1"/>
  <c r="D96" i="33"/>
  <c r="D131" i="33" s="1"/>
  <c r="J96" i="33"/>
  <c r="J131" i="33" s="1"/>
  <c r="G96" i="33"/>
  <c r="G131" i="33" s="1"/>
  <c r="L96" i="33"/>
  <c r="L131" i="33" s="1"/>
  <c r="C115" i="33"/>
  <c r="M115" i="33" s="1"/>
  <c r="M80" i="33"/>
  <c r="F96" i="33"/>
  <c r="F131" i="33" s="1"/>
  <c r="C96" i="33"/>
  <c r="K96" i="33"/>
  <c r="K131" i="33" s="1"/>
  <c r="C131" i="33" l="1"/>
  <c r="M131" i="33" s="1"/>
  <c r="M96" i="33"/>
  <c r="F33" i="33"/>
  <c r="E33" i="33"/>
  <c r="D33" i="33"/>
  <c r="L33" i="33"/>
  <c r="I33" i="33"/>
  <c r="J33" i="33"/>
  <c r="K33" i="33"/>
  <c r="C33" i="33"/>
  <c r="E14" i="33"/>
  <c r="G14" i="33" l="1"/>
  <c r="H14" i="33" s="1"/>
  <c r="H65" i="33" l="1"/>
  <c r="H81" i="33" s="1"/>
  <c r="H116" i="33" s="1"/>
  <c r="L65" i="33"/>
  <c r="L81" i="33" s="1"/>
  <c r="L116" i="33" s="1"/>
  <c r="G65" i="33"/>
  <c r="J65" i="33"/>
  <c r="J81" i="33" s="1"/>
  <c r="J116" i="33" s="1"/>
  <c r="C65" i="33"/>
  <c r="C81" i="33" s="1"/>
  <c r="C97" i="33" s="1"/>
  <c r="I65" i="33"/>
  <c r="F65" i="33"/>
  <c r="F81" i="33" s="1"/>
  <c r="F116" i="33" s="1"/>
  <c r="D65" i="33"/>
  <c r="K65" i="33"/>
  <c r="K81" i="33" s="1"/>
  <c r="K116" i="33" s="1"/>
  <c r="E65" i="33"/>
  <c r="E81" i="33" s="1"/>
  <c r="E116" i="33" s="1"/>
  <c r="I81" i="33"/>
  <c r="I116" i="33" s="1"/>
  <c r="G81" i="33"/>
  <c r="G116" i="33" s="1"/>
  <c r="D81" i="33"/>
  <c r="D116" i="33" s="1"/>
  <c r="M65" i="33" l="1"/>
  <c r="L97" i="33"/>
  <c r="L132" i="33" s="1"/>
  <c r="E97" i="33"/>
  <c r="E132" i="33" s="1"/>
  <c r="F97" i="33"/>
  <c r="F132" i="33" s="1"/>
  <c r="C132" i="33"/>
  <c r="M81" i="33"/>
  <c r="C116" i="33"/>
  <c r="M116" i="33" s="1"/>
  <c r="K97" i="33"/>
  <c r="K132" i="33" s="1"/>
  <c r="H97" i="33"/>
  <c r="H132" i="33" s="1"/>
  <c r="I97" i="33"/>
  <c r="I132" i="33" s="1"/>
  <c r="D97" i="33"/>
  <c r="D132" i="33" s="1"/>
  <c r="G97" i="33"/>
  <c r="G132" i="33" s="1"/>
  <c r="J97" i="33"/>
  <c r="J132" i="33" s="1"/>
  <c r="M132" i="33" l="1"/>
  <c r="M97" i="33"/>
  <c r="F34" i="33"/>
  <c r="K34" i="33"/>
  <c r="J34" i="33"/>
  <c r="D34" i="33"/>
  <c r="E34" i="33"/>
  <c r="I34" i="33"/>
  <c r="L34" i="33"/>
  <c r="C34" i="33"/>
  <c r="E15" i="33"/>
  <c r="G15" i="33" l="1"/>
  <c r="H15" i="33" s="1"/>
  <c r="G66" i="33" l="1"/>
  <c r="G82" i="33" s="1"/>
  <c r="G117" i="33" s="1"/>
  <c r="H66" i="33"/>
  <c r="L66" i="33"/>
  <c r="J66" i="33"/>
  <c r="J82" i="33" s="1"/>
  <c r="J117" i="33" s="1"/>
  <c r="D66" i="33"/>
  <c r="D82" i="33" s="1"/>
  <c r="D117" i="33" s="1"/>
  <c r="K66" i="33"/>
  <c r="C66" i="33"/>
  <c r="C82" i="33" s="1"/>
  <c r="I66" i="33"/>
  <c r="I82" i="33" s="1"/>
  <c r="I117" i="33" s="1"/>
  <c r="F66" i="33"/>
  <c r="F82" i="33" s="1"/>
  <c r="F117" i="33" s="1"/>
  <c r="E66" i="33"/>
  <c r="E82" i="33" s="1"/>
  <c r="E117" i="33" s="1"/>
  <c r="H82" i="33"/>
  <c r="H117" i="33" s="1"/>
  <c r="K82" i="33"/>
  <c r="K117" i="33" s="1"/>
  <c r="L82" i="33"/>
  <c r="L117" i="33" s="1"/>
  <c r="M66" i="33" l="1"/>
  <c r="H98" i="33"/>
  <c r="H133" i="33" s="1"/>
  <c r="L98" i="33"/>
  <c r="L133" i="33" s="1"/>
  <c r="I98" i="33"/>
  <c r="I133" i="33" s="1"/>
  <c r="G98" i="33"/>
  <c r="G133" i="33" s="1"/>
  <c r="K98" i="33"/>
  <c r="K133" i="33" s="1"/>
  <c r="J98" i="33"/>
  <c r="J133" i="33" s="1"/>
  <c r="D98" i="33"/>
  <c r="D133" i="33" s="1"/>
  <c r="M82" i="33"/>
  <c r="C117" i="33"/>
  <c r="M117" i="33" s="1"/>
  <c r="F98" i="33"/>
  <c r="F133" i="33" s="1"/>
  <c r="E98" i="33"/>
  <c r="E133" i="33" s="1"/>
  <c r="C98" i="33"/>
  <c r="C133" i="33" l="1"/>
  <c r="M133" i="33" s="1"/>
  <c r="M98" i="33"/>
  <c r="D35" i="33"/>
  <c r="K35" i="33"/>
  <c r="J35" i="33"/>
  <c r="F35" i="33"/>
  <c r="I35" i="33"/>
  <c r="C35" i="33"/>
  <c r="E16" i="33"/>
  <c r="E35" i="33"/>
  <c r="G16" i="33" l="1"/>
  <c r="H16" i="33" s="1"/>
  <c r="L35" i="33"/>
  <c r="E67" i="33" l="1"/>
  <c r="E83" i="33" s="1"/>
  <c r="E118" i="33" s="1"/>
  <c r="K67" i="33"/>
  <c r="I67" i="33"/>
  <c r="I83" i="33" s="1"/>
  <c r="I118" i="33" s="1"/>
  <c r="C67" i="33"/>
  <c r="C83" i="33" s="1"/>
  <c r="C99" i="33" s="1"/>
  <c r="D67" i="33"/>
  <c r="F67" i="33"/>
  <c r="G67" i="33"/>
  <c r="H67" i="33"/>
  <c r="H83" i="33" s="1"/>
  <c r="H118" i="33" s="1"/>
  <c r="J67" i="33"/>
  <c r="J83" i="33" s="1"/>
  <c r="J118" i="33" s="1"/>
  <c r="L67" i="33"/>
  <c r="G83" i="33"/>
  <c r="G118" i="33" s="1"/>
  <c r="F83" i="33"/>
  <c r="F118" i="33" s="1"/>
  <c r="D83" i="33"/>
  <c r="D118" i="33" s="1"/>
  <c r="L83" i="33"/>
  <c r="L118" i="33" s="1"/>
  <c r="K83" i="33"/>
  <c r="K118" i="33" s="1"/>
  <c r="M67" i="33" l="1"/>
  <c r="J99" i="33"/>
  <c r="J134" i="33" s="1"/>
  <c r="H99" i="33"/>
  <c r="H134" i="33" s="1"/>
  <c r="L99" i="33"/>
  <c r="L134" i="33" s="1"/>
  <c r="I99" i="33"/>
  <c r="I134" i="33" s="1"/>
  <c r="F99" i="33"/>
  <c r="F134" i="33" s="1"/>
  <c r="C134" i="33"/>
  <c r="E99" i="33"/>
  <c r="E134" i="33" s="1"/>
  <c r="M83" i="33"/>
  <c r="C118" i="33"/>
  <c r="M118" i="33" s="1"/>
  <c r="K99" i="33"/>
  <c r="K134" i="33" s="1"/>
  <c r="D99" i="33"/>
  <c r="D134" i="33" s="1"/>
  <c r="G99" i="33"/>
  <c r="G134" i="33" s="1"/>
  <c r="M134" i="33" l="1"/>
  <c r="M99" i="33"/>
  <c r="K36" i="33"/>
  <c r="D36" i="33"/>
  <c r="L36" i="33"/>
  <c r="I36" i="33"/>
  <c r="J36" i="33"/>
  <c r="E36" i="33"/>
  <c r="F36" i="33"/>
  <c r="C36" i="33"/>
  <c r="E17" i="33"/>
  <c r="G17" i="33" l="1"/>
  <c r="H17" i="33" s="1"/>
  <c r="D68" i="33" s="1"/>
  <c r="L68" i="33" l="1"/>
  <c r="L84" i="33" s="1"/>
  <c r="L119" i="33" s="1"/>
  <c r="J68" i="33"/>
  <c r="F68" i="33"/>
  <c r="F84" i="33" s="1"/>
  <c r="F119" i="33" s="1"/>
  <c r="G68" i="33"/>
  <c r="C68" i="33"/>
  <c r="C84" i="33" s="1"/>
  <c r="I68" i="33"/>
  <c r="K68" i="33"/>
  <c r="K84" i="33" s="1"/>
  <c r="K119" i="33" s="1"/>
  <c r="H68" i="33"/>
  <c r="E68" i="33"/>
  <c r="E84" i="33" s="1"/>
  <c r="E119" i="33" s="1"/>
  <c r="J84" i="33"/>
  <c r="J119" i="33" s="1"/>
  <c r="G84" i="33"/>
  <c r="G119" i="33" s="1"/>
  <c r="I84" i="33"/>
  <c r="I119" i="33" s="1"/>
  <c r="D84" i="33"/>
  <c r="D119" i="33" s="1"/>
  <c r="H84" i="33"/>
  <c r="H119" i="33" s="1"/>
  <c r="M68" i="33" l="1"/>
  <c r="K100" i="33"/>
  <c r="K135" i="33" s="1"/>
  <c r="G100" i="33"/>
  <c r="G135" i="33" s="1"/>
  <c r="E100" i="33"/>
  <c r="E135" i="33" s="1"/>
  <c r="H100" i="33"/>
  <c r="H135" i="33" s="1"/>
  <c r="J100" i="33"/>
  <c r="J135" i="33" s="1"/>
  <c r="D100" i="33"/>
  <c r="D135" i="33" s="1"/>
  <c r="C119" i="33"/>
  <c r="M119" i="33" s="1"/>
  <c r="M84" i="33"/>
  <c r="C100" i="33"/>
  <c r="I100" i="33"/>
  <c r="I135" i="33" s="1"/>
  <c r="F100" i="33"/>
  <c r="F135" i="33" s="1"/>
  <c r="L100" i="33"/>
  <c r="L135" i="33" s="1"/>
  <c r="M100" i="33" l="1"/>
  <c r="C135" i="33"/>
  <c r="M135" i="33" s="1"/>
  <c r="F37" i="33"/>
  <c r="J37" i="33"/>
  <c r="I37" i="33"/>
  <c r="E37" i="33"/>
  <c r="K37" i="33"/>
  <c r="D37" i="33"/>
  <c r="E18" i="33"/>
  <c r="G18" i="33" l="1"/>
  <c r="H18" i="33" s="1"/>
  <c r="L37" i="33"/>
  <c r="C37" i="33"/>
  <c r="F69" i="33" l="1"/>
  <c r="J69" i="33"/>
  <c r="K69" i="33"/>
  <c r="K85" i="33" s="1"/>
  <c r="K120" i="33" s="1"/>
  <c r="H69" i="33"/>
  <c r="I69" i="33"/>
  <c r="G69" i="33"/>
  <c r="E69" i="33"/>
  <c r="E85" i="33" s="1"/>
  <c r="E120" i="33" s="1"/>
  <c r="L69" i="33"/>
  <c r="D69" i="33"/>
  <c r="J85" i="33"/>
  <c r="J120" i="33" s="1"/>
  <c r="C69" i="33"/>
  <c r="F85" i="33"/>
  <c r="F120" i="33" s="1"/>
  <c r="I85" i="33"/>
  <c r="I120" i="33" s="1"/>
  <c r="D85" i="33"/>
  <c r="D120" i="33" s="1"/>
  <c r="L85" i="33"/>
  <c r="L120" i="33" s="1"/>
  <c r="H85" i="33"/>
  <c r="H120" i="33" s="1"/>
  <c r="G85" i="33"/>
  <c r="G120" i="33" s="1"/>
  <c r="J101" i="33" l="1"/>
  <c r="J136" i="33" s="1"/>
  <c r="L101" i="33"/>
  <c r="L136" i="33" s="1"/>
  <c r="I101" i="33"/>
  <c r="I136" i="33" s="1"/>
  <c r="D101" i="33"/>
  <c r="D136" i="33" s="1"/>
  <c r="K101" i="33"/>
  <c r="K136" i="33" s="1"/>
  <c r="C85" i="33"/>
  <c r="C101" i="33" s="1"/>
  <c r="M69" i="33"/>
  <c r="H101" i="33"/>
  <c r="H136" i="33" s="1"/>
  <c r="G101" i="33"/>
  <c r="G136" i="33" s="1"/>
  <c r="F101" i="33"/>
  <c r="F136" i="33" s="1"/>
  <c r="E101" i="33"/>
  <c r="E136" i="33" s="1"/>
  <c r="M101" i="33" l="1"/>
  <c r="C136" i="33"/>
  <c r="M136" i="33" s="1"/>
  <c r="M85" i="33"/>
  <c r="C120" i="33"/>
  <c r="M120" i="33" s="1"/>
  <c r="D38" i="33"/>
  <c r="L38" i="33"/>
  <c r="F38" i="33"/>
  <c r="I38" i="33"/>
  <c r="E38" i="33"/>
  <c r="J38" i="33"/>
  <c r="K38" i="33"/>
  <c r="C38" i="33"/>
  <c r="E19" i="33"/>
  <c r="G19" i="33" l="1"/>
  <c r="H19" i="33" s="1"/>
  <c r="C70" i="33" l="1"/>
  <c r="G70" i="33"/>
  <c r="I70" i="33"/>
  <c r="I86" i="33" s="1"/>
  <c r="I121" i="33" s="1"/>
  <c r="K70" i="33"/>
  <c r="J70" i="33"/>
  <c r="J86" i="33" s="1"/>
  <c r="J121" i="33" s="1"/>
  <c r="E70" i="33"/>
  <c r="D70" i="33"/>
  <c r="D86" i="33" s="1"/>
  <c r="D121" i="33" s="1"/>
  <c r="F70" i="33"/>
  <c r="H70" i="33"/>
  <c r="H86" i="33" s="1"/>
  <c r="H121" i="33" s="1"/>
  <c r="L70" i="33"/>
  <c r="L86" i="33" s="1"/>
  <c r="L121" i="33" s="1"/>
  <c r="G86" i="33"/>
  <c r="G121" i="33" s="1"/>
  <c r="K86" i="33"/>
  <c r="K121" i="33" s="1"/>
  <c r="F86" i="33"/>
  <c r="F121" i="33" s="1"/>
  <c r="E86" i="33"/>
  <c r="E121" i="33" s="1"/>
  <c r="M70" i="33" l="1"/>
  <c r="C86" i="33"/>
  <c r="C102" i="33" s="1"/>
  <c r="C137" i="33" s="1"/>
  <c r="J102" i="33"/>
  <c r="J137" i="33" s="1"/>
  <c r="D102" i="33"/>
  <c r="D137" i="33" s="1"/>
  <c r="I102" i="33"/>
  <c r="I137" i="33" s="1"/>
  <c r="E102" i="33"/>
  <c r="E137" i="33" s="1"/>
  <c r="F102" i="33"/>
  <c r="F137" i="33" s="1"/>
  <c r="K102" i="33"/>
  <c r="K137" i="33" s="1"/>
  <c r="G102" i="33"/>
  <c r="G137" i="33" s="1"/>
  <c r="L102" i="33"/>
  <c r="L137" i="33" s="1"/>
  <c r="C121" i="33"/>
  <c r="M121" i="33" s="1"/>
  <c r="M86" i="33"/>
  <c r="H102" i="33"/>
  <c r="H137" i="33" s="1"/>
  <c r="M102" i="33" l="1"/>
  <c r="M137" i="33"/>
  <c r="J39" i="33"/>
  <c r="D39" i="33"/>
  <c r="I39" i="33"/>
  <c r="F39" i="33"/>
  <c r="C39" i="33"/>
  <c r="K39" i="33"/>
  <c r="E39" i="33"/>
  <c r="E20" i="33"/>
  <c r="G20" i="33" l="1"/>
  <c r="H20" i="33" s="1"/>
  <c r="L39" i="33"/>
  <c r="L71" i="33" l="1"/>
  <c r="H71" i="33"/>
  <c r="H87" i="33" s="1"/>
  <c r="H122" i="33" s="1"/>
  <c r="J71" i="33"/>
  <c r="D71" i="33"/>
  <c r="D87" i="33" s="1"/>
  <c r="D122" i="33" s="1"/>
  <c r="E71" i="33"/>
  <c r="F71" i="33"/>
  <c r="F87" i="33" s="1"/>
  <c r="F122" i="33" s="1"/>
  <c r="I71" i="33"/>
  <c r="K71" i="33"/>
  <c r="K87" i="33" s="1"/>
  <c r="K122" i="33" s="1"/>
  <c r="G71" i="33"/>
  <c r="G87" i="33" s="1"/>
  <c r="G122" i="33" s="1"/>
  <c r="C71" i="33"/>
  <c r="C87" i="33" s="1"/>
  <c r="J87" i="33"/>
  <c r="J122" i="33" s="1"/>
  <c r="L87" i="33"/>
  <c r="L122" i="33" s="1"/>
  <c r="E87" i="33"/>
  <c r="E122" i="33" s="1"/>
  <c r="I87" i="33"/>
  <c r="I122" i="33" s="1"/>
  <c r="M71" i="33" l="1"/>
  <c r="F103" i="33"/>
  <c r="F138" i="33" s="1"/>
  <c r="L103" i="33"/>
  <c r="L138" i="33" s="1"/>
  <c r="G103" i="33"/>
  <c r="G138" i="33" s="1"/>
  <c r="H103" i="33"/>
  <c r="H138" i="33" s="1"/>
  <c r="C122" i="33"/>
  <c r="M122" i="33" s="1"/>
  <c r="M87" i="33"/>
  <c r="I103" i="33"/>
  <c r="I138" i="33" s="1"/>
  <c r="D103" i="33"/>
  <c r="D138" i="33" s="1"/>
  <c r="J103" i="33"/>
  <c r="J138" i="33" s="1"/>
  <c r="C103" i="33"/>
  <c r="E103" i="33"/>
  <c r="E138" i="33" s="1"/>
  <c r="K103" i="33"/>
  <c r="K138" i="33" s="1"/>
  <c r="M103" i="33" l="1"/>
  <c r="C138" i="33"/>
  <c r="M138" i="33" s="1"/>
  <c r="G99" i="35" l="1"/>
  <c r="G107" i="35" s="1"/>
  <c r="F103" i="35"/>
  <c r="G105" i="35" s="1"/>
  <c r="E36" i="35" s="1"/>
  <c r="F36" i="35" s="1"/>
  <c r="F77" i="35" l="1"/>
  <c r="G79" i="35" s="1"/>
  <c r="E10" i="35" s="1"/>
  <c r="F10" i="35" s="1"/>
  <c r="G73" i="35"/>
  <c r="F157" i="35"/>
  <c r="G159" i="35" s="1"/>
  <c r="E90" i="35" s="1"/>
  <c r="F149" i="35"/>
  <c r="G153" i="35" s="1"/>
  <c r="F90" i="35" l="1"/>
  <c r="F91" i="35" s="1"/>
  <c r="E35" i="35"/>
  <c r="F35" i="35" s="1"/>
  <c r="F37" i="35" s="1"/>
  <c r="G82" i="35"/>
  <c r="F123" i="35"/>
  <c r="G127" i="35" s="1"/>
  <c r="F131" i="35"/>
  <c r="G133" i="35" s="1"/>
  <c r="E64" i="35" s="1"/>
  <c r="G161" i="35"/>
  <c r="F64" i="35" l="1"/>
  <c r="F65" i="35" s="1"/>
  <c r="E9" i="35"/>
  <c r="F9" i="35" s="1"/>
  <c r="F11" i="35" s="1"/>
  <c r="G136" i="35"/>
  <c r="Z10" i="36" l="1"/>
  <c r="Z8" i="36"/>
  <c r="Z13" i="36"/>
  <c r="Z15" i="36"/>
  <c r="Z12" i="36"/>
  <c r="Z7" i="36"/>
  <c r="Z11" i="36"/>
  <c r="Z6" i="36"/>
  <c r="Z14" i="36"/>
  <c r="Z9" i="36"/>
  <c r="B16" i="36"/>
  <c r="C13" i="36" s="1"/>
  <c r="J28" i="33" s="1"/>
  <c r="C9" i="33" l="1"/>
  <c r="C21" i="33" s="1"/>
  <c r="Z16" i="36"/>
  <c r="AA13" i="36" s="1"/>
  <c r="C8" i="36"/>
  <c r="E28" i="33" s="1"/>
  <c r="C12" i="36"/>
  <c r="I28" i="33" s="1"/>
  <c r="C15" i="36"/>
  <c r="L28" i="33" s="1"/>
  <c r="C14" i="36"/>
  <c r="K28" i="33" s="1"/>
  <c r="C11" i="36"/>
  <c r="G28" i="33" s="1"/>
  <c r="C7" i="36"/>
  <c r="D28" i="33" s="1"/>
  <c r="C6" i="36"/>
  <c r="C9" i="36"/>
  <c r="F28" i="33" s="1"/>
  <c r="C10" i="36"/>
  <c r="H28" i="33" s="1"/>
  <c r="E9" i="33" l="1"/>
  <c r="E21" i="33" s="1"/>
  <c r="AA12" i="36"/>
  <c r="AA10" i="36"/>
  <c r="AA6" i="36"/>
  <c r="AA15" i="36"/>
  <c r="AA7" i="36"/>
  <c r="AA14" i="36"/>
  <c r="AA11" i="36"/>
  <c r="AA8" i="36"/>
  <c r="AA9" i="36"/>
  <c r="C28" i="33"/>
  <c r="C16" i="36"/>
  <c r="G9" i="33" l="1"/>
  <c r="G21" i="33" s="1"/>
  <c r="F21" i="33" s="1"/>
  <c r="AA16" i="36"/>
  <c r="H9" i="33" l="1"/>
  <c r="C60" i="33" s="1"/>
  <c r="H21" i="33"/>
  <c r="L60" i="33"/>
  <c r="K60" i="33"/>
  <c r="H60" i="33"/>
  <c r="G60" i="33"/>
  <c r="D60" i="33"/>
  <c r="F60" i="33"/>
  <c r="I60" i="33" l="1"/>
  <c r="I76" i="33" s="1"/>
  <c r="I92" i="33" s="1"/>
  <c r="J60" i="33"/>
  <c r="E60" i="33"/>
  <c r="M60" i="33" s="1"/>
  <c r="M72" i="33" s="1"/>
  <c r="M73" i="33" s="1"/>
  <c r="D72" i="33"/>
  <c r="D76" i="33"/>
  <c r="D92" i="33" s="1"/>
  <c r="G76" i="33"/>
  <c r="G72" i="33"/>
  <c r="C72" i="33"/>
  <c r="C76" i="33"/>
  <c r="F76" i="33"/>
  <c r="F92" i="33" s="1"/>
  <c r="F72" i="33"/>
  <c r="H76" i="33"/>
  <c r="H92" i="33" s="1"/>
  <c r="H72" i="33"/>
  <c r="L72" i="33"/>
  <c r="L76" i="33"/>
  <c r="L92" i="33" s="1"/>
  <c r="I72" i="33"/>
  <c r="J76" i="33"/>
  <c r="J92" i="33" s="1"/>
  <c r="J72" i="33"/>
  <c r="E72" i="33"/>
  <c r="K72" i="33"/>
  <c r="K76" i="33"/>
  <c r="E76" i="33" l="1"/>
  <c r="E92" i="33" s="1"/>
  <c r="E127" i="33" s="1"/>
  <c r="E139" i="33" s="1"/>
  <c r="F73" i="33"/>
  <c r="E73" i="33"/>
  <c r="I73" i="33"/>
  <c r="L73" i="33"/>
  <c r="K73" i="33"/>
  <c r="H73" i="33"/>
  <c r="G73" i="33"/>
  <c r="D73" i="33"/>
  <c r="J73" i="33"/>
  <c r="C73" i="33"/>
  <c r="J127" i="33"/>
  <c r="J139" i="33" s="1"/>
  <c r="J104" i="33"/>
  <c r="C88" i="33"/>
  <c r="C111" i="33"/>
  <c r="I104" i="33"/>
  <c r="I127" i="33"/>
  <c r="I139" i="33" s="1"/>
  <c r="H127" i="33"/>
  <c r="H139" i="33" s="1"/>
  <c r="H104" i="33"/>
  <c r="F88" i="33"/>
  <c r="F111" i="33"/>
  <c r="F123" i="33" s="1"/>
  <c r="G88" i="33"/>
  <c r="G111" i="33"/>
  <c r="G123" i="33" s="1"/>
  <c r="K88" i="33"/>
  <c r="K111" i="33"/>
  <c r="K123" i="33" s="1"/>
  <c r="E88" i="33"/>
  <c r="J111" i="33"/>
  <c r="J123" i="33" s="1"/>
  <c r="J88" i="33"/>
  <c r="L104" i="33"/>
  <c r="L127" i="33"/>
  <c r="L139" i="33" s="1"/>
  <c r="F104" i="33"/>
  <c r="F127" i="33"/>
  <c r="F139" i="33" s="1"/>
  <c r="D127" i="33"/>
  <c r="D139" i="33" s="1"/>
  <c r="D104" i="33"/>
  <c r="K92" i="33"/>
  <c r="I88" i="33"/>
  <c r="I111" i="33"/>
  <c r="I123" i="33" s="1"/>
  <c r="L88" i="33"/>
  <c r="L111" i="33"/>
  <c r="L123" i="33" s="1"/>
  <c r="H88" i="33"/>
  <c r="H111" i="33"/>
  <c r="H123" i="33" s="1"/>
  <c r="C92" i="33"/>
  <c r="G92" i="33"/>
  <c r="D88" i="33"/>
  <c r="D111" i="33"/>
  <c r="D123" i="33" s="1"/>
  <c r="M76" i="33" l="1"/>
  <c r="M88" i="33" s="1"/>
  <c r="E104" i="33"/>
  <c r="E111" i="33"/>
  <c r="E123" i="33" s="1"/>
  <c r="F140" i="33"/>
  <c r="I140" i="33"/>
  <c r="L140" i="33"/>
  <c r="E140" i="33"/>
  <c r="J140" i="33"/>
  <c r="G127" i="33"/>
  <c r="G139" i="33" s="1"/>
  <c r="G104" i="33"/>
  <c r="K104" i="33"/>
  <c r="K127" i="33"/>
  <c r="K139" i="33" s="1"/>
  <c r="C127" i="33"/>
  <c r="M92" i="33"/>
  <c r="M104" i="33" s="1"/>
  <c r="C104" i="33"/>
  <c r="C123" i="33"/>
  <c r="D140" i="33"/>
  <c r="H140" i="33"/>
  <c r="M111" i="33" l="1"/>
  <c r="M123" i="33" s="1"/>
  <c r="F39" i="35" s="1"/>
  <c r="F41" i="35" s="1"/>
  <c r="G45" i="35" s="1"/>
  <c r="G140" i="33"/>
  <c r="K140" i="33"/>
  <c r="C139" i="33"/>
  <c r="C140" i="33" s="1"/>
  <c r="M127" i="33"/>
  <c r="M139" i="33" s="1"/>
  <c r="F49" i="35" l="1"/>
  <c r="G51" i="35" s="1"/>
  <c r="G53" i="35" s="1"/>
  <c r="M140" i="33"/>
  <c r="F13" i="35"/>
  <c r="F15" i="35" l="1"/>
  <c r="G19" i="35" s="1"/>
  <c r="F23" i="35"/>
  <c r="G25" i="35" s="1"/>
  <c r="G28" i="35" l="1"/>
</calcChain>
</file>

<file path=xl/comments1.xml><?xml version="1.0" encoding="utf-8"?>
<comments xmlns="http://schemas.openxmlformats.org/spreadsheetml/2006/main">
  <authors>
    <author>Weinstein, Mike</author>
  </authors>
  <commentList>
    <comment ref="B75" author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<sst xmlns="http://schemas.openxmlformats.org/spreadsheetml/2006/main" count="397" uniqueCount="106">
  <si>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</si>
  <si>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</si>
  <si>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</si>
  <si>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</si>
  <si>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</si>
  <si>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</si>
  <si>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</si>
  <si>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</si>
  <si>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</si>
  <si>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</si>
  <si>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</si>
  <si>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</si>
  <si>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</si>
  <si>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</si>
  <si>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</si>
  <si>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</si>
  <si>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</si>
  <si>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</si>
  <si>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</si>
  <si>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</si>
  <si>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</si>
  <si>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</si>
  <si>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</si>
  <si>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</si>
  <si>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</si>
  <si>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</si>
  <si>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</si>
  <si>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</si>
  <si>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</si>
  <si>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</si>
  <si>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</si>
  <si>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</si>
  <si>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</si>
  <si>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</si>
  <si>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</si>
  <si>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</si>
  <si>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</si>
  <si>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</si>
  <si>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</si>
  <si>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</si>
  <si>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</si>
  <si>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</si>
  <si>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</si>
  <si>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</si>
  <si>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</si>
  <si>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</si>
  <si>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</si>
  <si>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</si>
  <si>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</si>
  <si>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</si>
  <si>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</si>
  <si>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</si>
  <si>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</si>
  <si>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</si>
  <si>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</si>
  <si>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</si>
  <si>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</si>
  <si>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</si>
  <si>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</si>
  <si>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</si>
  <si>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</si>
  <si>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</si>
  <si>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</si>
  <si>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</si>
  <si>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</si>
  <si>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</si>
  <si>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</si>
  <si>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</si>
  <si>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</si>
  <si>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</si>
  <si>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</si>
  <si>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</si>
  <si>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</si>
  <si>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</si>
  <si>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</si>
  <si>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</si>
  <si>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</si>
  <si>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</si>
  <si>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</si>
  <si>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</si>
  <si>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</si>
  <si>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</si>
  <si>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</si>
  <si>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</si>
  <si>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</si>
  <si>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</si>
  <si>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</si>
  <si>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</si>
  <si>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</si>
  <si>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</si>
  <si>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Jun., 2015</t>
  </si>
  <si>
    <t>Jan., 2016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</si>
  <si>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</si>
  <si>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</si>
  <si>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</si>
  <si>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</si>
  <si>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</si>
  <si>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</si>
  <si>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</si>
  <si>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</si>
  <si>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</si>
  <si>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</si>
  <si>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</si>
  <si>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2015</t>
  </si>
  <si>
    <t>Filing</t>
  </si>
  <si>
    <t>Total with Residue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</si>
</sst>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u val="doubleAccounting"/>
      <sz val="1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43" fontId="17" fillId="0" borderId="0" xfId="0" applyNumberFormat="1" applyFont="1"/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8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31" fillId="0" borderId="0" xfId="4" applyNumberFormat="1" applyFont="1" applyBorder="1" applyAlignment="1">
      <alignment horizontal="right"/>
    </xf>
    <xf numFmtId="9" fontId="29" fillId="0" borderId="0" xfId="0" applyNumberFormat="1" applyFont="1" applyBorder="1"/>
    <xf numFmtId="17" fontId="32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9" fontId="31" fillId="0" borderId="0" xfId="4" applyFont="1" applyBorder="1" applyAlignment="1">
      <alignment horizontal="right"/>
    </xf>
    <xf numFmtId="166" fontId="29" fillId="0" borderId="0" xfId="4" applyNumberFormat="1" applyFont="1" applyBorder="1"/>
    <xf numFmtId="0" fontId="31" fillId="0" borderId="0" xfId="0" applyFont="1" applyBorder="1"/>
    <xf numFmtId="166" fontId="29" fillId="0" borderId="0" xfId="0" applyNumberFormat="1" applyFont="1" applyBorder="1"/>
    <xf numFmtId="10" fontId="29" fillId="0" borderId="0" xfId="0" applyNumberFormat="1" applyFont="1"/>
    <xf numFmtId="10" fontId="30" fillId="0" borderId="0" xfId="0" applyNumberFormat="1" applyFont="1"/>
    <xf numFmtId="0" fontId="31" fillId="0" borderId="0" xfId="0" applyFont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43" fontId="29" fillId="0" borderId="0" xfId="1" applyFont="1" applyBorder="1"/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43" fontId="29" fillId="0" borderId="0" xfId="0" applyNumberFormat="1" applyFont="1" applyBorder="1"/>
    <xf numFmtId="0" fontId="3" fillId="0" borderId="0" xfId="5" applyFont="1" applyFill="1" applyAlignment="1">
      <alignment horizontal="center"/>
    </xf>
    <xf numFmtId="166" fontId="33" fillId="0" borderId="0" xfId="4" applyNumberFormat="1" applyFont="1"/>
    <xf numFmtId="0" fontId="4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3" fillId="0" borderId="0" xfId="0" applyNumberFormat="1" applyFont="1"/>
    <xf numFmtId="166" fontId="5" fillId="0" borderId="0" xfId="4" applyNumberFormat="1" applyFont="1"/>
    <xf numFmtId="44" fontId="21" fillId="0" borderId="0" xfId="0" applyNumberFormat="1" applyFont="1"/>
    <xf numFmtId="0" fontId="33" fillId="0" borderId="0" xfId="0" applyFont="1"/>
    <xf numFmtId="164" fontId="33" fillId="0" borderId="0" xfId="1" applyNumberFormat="1" applyFont="1"/>
    <xf numFmtId="164" fontId="33" fillId="0" borderId="0" xfId="0" applyNumberFormat="1" applyFont="1"/>
    <xf numFmtId="41" fontId="0" fillId="0" borderId="0" xfId="0" applyNumberFormat="1"/>
    <xf numFmtId="44" fontId="3" fillId="0" borderId="0" xfId="3" applyFont="1"/>
    <xf numFmtId="44" fontId="21" fillId="0" borderId="0" xfId="3" applyFont="1"/>
    <xf numFmtId="10" fontId="0" fillId="0" borderId="0" xfId="4" applyNumberFormat="1" applyFont="1"/>
    <xf numFmtId="0" fontId="0" fillId="0" borderId="0" xfId="0" applyNumberForma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  <xf numFmtId="43" fontId="28" fillId="0" borderId="0" xfId="0" applyNumberFormat="1" applyFont="1" applyBorder="1"/>
    <xf numFmtId="43" fontId="34" fillId="0" borderId="0" xfId="0" applyNumberFormat="1" applyFont="1" applyBorder="1"/>
    <xf numFmtId="43" fontId="28" fillId="0" borderId="0" xfId="0" applyNumberFormat="1" applyFont="1"/>
    <xf numFmtId="0" fontId="28" fillId="0" borderId="0" xfId="0" quotePrefix="1" applyFont="1" applyBorder="1" applyAlignment="1">
      <alignment horizontal="center"/>
    </xf>
    <xf numFmtId="0" fontId="28" fillId="0" borderId="0" xfId="0" applyFont="1" applyBorder="1" applyAlignment="1">
      <alignment horizontal="center"/>
    </xf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inst/Documents/WUTC%20Rate%20Cases/WM%20Spokane/Commodity%20Credit/2015/WM%20of%20Spokane%20Commodity%20Credit%20Analysis%20eff._08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ate Calculation"/>
      <sheetName val="Tons &amp; Revenue"/>
      <sheetName val="Customers"/>
      <sheetName val="Composition"/>
      <sheetName val="Prices"/>
      <sheetName val="MF Yards"/>
    </sheetNames>
    <sheetDataSet>
      <sheetData sheetId="0"/>
      <sheetData sheetId="1"/>
      <sheetData sheetId="2"/>
      <sheetData sheetId="3">
        <row r="19">
          <cell r="Z19">
            <v>854.62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opLeftCell="A202" zoomScale="80" zoomScaleNormal="80" workbookViewId="0">
      <selection activeCell="H215" sqref="H215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6" width="14.28515625" bestFit="1" customWidth="1"/>
    <col min="7" max="7" width="9.140625" bestFit="1" customWidth="1"/>
    <col min="8" max="8" width="30.42578125" customWidth="1"/>
    <col min="9" max="9" width="12.7109375" customWidth="1"/>
    <col min="10" max="10" width="13.42578125" bestFit="1" customWidth="1"/>
    <col min="11" max="11" width="11.140625" customWidth="1"/>
    <col min="12" max="12" width="14" bestFit="1" customWidth="1"/>
    <col min="13" max="13" width="14.28515625" bestFit="1" customWidth="1"/>
    <col min="14" max="14" width="8.42578125" bestFit="1" customWidth="1"/>
    <col min="15" max="15" width="63.42578125" customWidth="1"/>
    <col min="16" max="16" width="2.42578125" customWidth="1"/>
    <col min="17" max="17" width="13.42578125" bestFit="1" customWidth="1"/>
    <col min="18" max="18" width="13.42578125" customWidth="1"/>
    <col min="19" max="19" width="14" bestFit="1" customWidth="1"/>
    <col min="20" max="20" width="14.28515625" bestFit="1" customWidth="1"/>
    <col min="21" max="21" width="8.42578125" bestFit="1" customWidth="1"/>
    <col min="22" max="22" width="63.42578125" customWidth="1"/>
    <col min="23" max="23" width="3.28515625" customWidth="1"/>
    <col min="24" max="24" width="13.42578125" bestFit="1" customWidth="1"/>
    <col min="25" max="25" width="13.42578125" customWidth="1"/>
    <col min="26" max="26" width="14" bestFit="1" customWidth="1"/>
    <col min="27" max="27" width="12.28515625" bestFit="1" customWidth="1"/>
    <col min="28" max="28" width="11.5703125" bestFit="1" customWidth="1"/>
  </cols>
  <sheetData>
    <row r="1" spans="1:7" ht="23.25" x14ac:dyDescent="0.35">
      <c r="A1" s="32" t="s">
        <v>63</v>
      </c>
      <c r="B1" s="33"/>
      <c r="C1" s="34"/>
      <c r="D1" s="34"/>
      <c r="E1" s="34"/>
      <c r="F1" s="34"/>
      <c r="G1" s="35"/>
    </row>
    <row r="2" spans="1:7" ht="15.75" x14ac:dyDescent="0.25">
      <c r="A2" s="36" t="s">
        <v>92</v>
      </c>
      <c r="B2" s="37"/>
      <c r="C2" s="38"/>
      <c r="D2" s="38"/>
      <c r="E2" s="39"/>
      <c r="F2" s="39"/>
      <c r="G2" s="40"/>
    </row>
    <row r="3" spans="1:7" ht="15.75" x14ac:dyDescent="0.25">
      <c r="A3" s="41"/>
      <c r="B3" s="42"/>
      <c r="C3" s="39"/>
      <c r="D3" s="39"/>
      <c r="E3" s="39"/>
      <c r="F3" s="39"/>
      <c r="G3" s="40"/>
    </row>
    <row r="4" spans="1:7" ht="15" x14ac:dyDescent="0.2">
      <c r="A4" s="140" t="s">
        <v>26</v>
      </c>
      <c r="B4" s="141"/>
      <c r="C4" s="141"/>
      <c r="D4" s="141"/>
      <c r="E4" s="141"/>
      <c r="F4" s="141"/>
      <c r="G4" s="142"/>
    </row>
    <row r="5" spans="1:7" ht="15" x14ac:dyDescent="0.2">
      <c r="A5" s="43"/>
      <c r="B5" s="39"/>
      <c r="C5" s="39"/>
      <c r="D5" s="39"/>
      <c r="E5" s="39"/>
      <c r="F5" s="39"/>
      <c r="G5" s="40"/>
    </row>
    <row r="6" spans="1:7" ht="15.75" x14ac:dyDescent="0.25">
      <c r="A6" s="43"/>
      <c r="B6" s="39"/>
      <c r="C6" s="44"/>
      <c r="D6" s="44"/>
      <c r="E6" s="44" t="s">
        <v>18</v>
      </c>
      <c r="F6" s="44" t="s">
        <v>3</v>
      </c>
      <c r="G6" s="40"/>
    </row>
    <row r="7" spans="1:7" ht="15.75" x14ac:dyDescent="0.25">
      <c r="A7" s="43"/>
      <c r="B7" s="39"/>
      <c r="C7" s="45" t="s">
        <v>5</v>
      </c>
      <c r="D7" s="45"/>
      <c r="E7" s="45" t="s">
        <v>27</v>
      </c>
      <c r="F7" s="45" t="s">
        <v>6</v>
      </c>
      <c r="G7" s="40"/>
    </row>
    <row r="8" spans="1:7" ht="15.75" x14ac:dyDescent="0.25">
      <c r="A8" s="46" t="s">
        <v>84</v>
      </c>
      <c r="B8" s="37"/>
      <c r="C8" s="47"/>
      <c r="D8" s="47"/>
      <c r="E8" s="47"/>
      <c r="F8" s="47"/>
      <c r="G8" s="40"/>
    </row>
    <row r="9" spans="1:7" ht="15.75" x14ac:dyDescent="0.25">
      <c r="A9" s="43" t="s">
        <v>64</v>
      </c>
      <c r="B9" s="39"/>
      <c r="C9" s="48">
        <f>+'Res''l &amp; MF Customers'!C14+'Res''l &amp; MF Customers'!D14</f>
        <v>42479</v>
      </c>
      <c r="D9" s="48"/>
      <c r="E9" s="49">
        <f>+E64</f>
        <v>1.96</v>
      </c>
      <c r="F9" s="48">
        <f>C9*E9</f>
        <v>83258.84</v>
      </c>
      <c r="G9" s="40"/>
    </row>
    <row r="10" spans="1:7" ht="17.25" x14ac:dyDescent="0.35">
      <c r="A10" s="50" t="s">
        <v>65</v>
      </c>
      <c r="B10" s="51"/>
      <c r="C10" s="52">
        <f>SUM('Res''l &amp; MF Customers'!E14:N14)</f>
        <v>213820</v>
      </c>
      <c r="D10" s="52"/>
      <c r="E10" s="49">
        <f>+G79</f>
        <v>1.99</v>
      </c>
      <c r="F10" s="52">
        <f>C10*E10</f>
        <v>425501.8</v>
      </c>
      <c r="G10" s="40"/>
    </row>
    <row r="11" spans="1:7" ht="17.25" x14ac:dyDescent="0.35">
      <c r="A11" s="43" t="s">
        <v>3</v>
      </c>
      <c r="B11" s="39"/>
      <c r="C11" s="48">
        <f>SUM(C9:C10)</f>
        <v>256299</v>
      </c>
      <c r="D11" s="52"/>
      <c r="E11" s="39"/>
      <c r="F11" s="48">
        <f>SUM(F9:F10)</f>
        <v>508760.64</v>
      </c>
      <c r="G11" s="40"/>
    </row>
    <row r="12" spans="1:7" ht="15" x14ac:dyDescent="0.2">
      <c r="A12" s="43"/>
      <c r="B12" s="39"/>
      <c r="C12" s="39"/>
      <c r="D12" s="39"/>
      <c r="E12" s="39"/>
      <c r="F12" s="39"/>
      <c r="G12" s="40"/>
    </row>
    <row r="13" spans="1:7" ht="15.75" x14ac:dyDescent="0.25">
      <c r="A13" s="36" t="s">
        <v>28</v>
      </c>
      <c r="B13" s="39"/>
      <c r="C13" s="39"/>
      <c r="D13" s="39"/>
      <c r="E13" s="39"/>
      <c r="F13" s="48">
        <f>+'Tons &amp; Revenue'!M139</f>
        <v>438425.6481103421</v>
      </c>
      <c r="G13" s="40"/>
    </row>
    <row r="14" spans="1:7" ht="15" x14ac:dyDescent="0.2">
      <c r="A14" s="43"/>
      <c r="B14" s="39"/>
      <c r="C14" s="39"/>
      <c r="D14" s="39"/>
      <c r="E14" s="39"/>
      <c r="F14" s="39"/>
      <c r="G14" s="40"/>
    </row>
    <row r="15" spans="1:7" ht="15" x14ac:dyDescent="0.2">
      <c r="A15" s="43" t="s">
        <v>29</v>
      </c>
      <c r="B15" s="39"/>
      <c r="C15" s="39"/>
      <c r="D15" s="39"/>
      <c r="E15" s="39"/>
      <c r="F15" s="48">
        <f>F13-F11</f>
        <v>-70334.991889657918</v>
      </c>
      <c r="G15" s="40"/>
    </row>
    <row r="16" spans="1:7" ht="15" x14ac:dyDescent="0.2">
      <c r="A16" s="43"/>
      <c r="B16" s="39"/>
      <c r="C16" s="39"/>
      <c r="D16" s="39"/>
      <c r="E16" s="39"/>
      <c r="F16" s="39"/>
      <c r="G16" s="40"/>
    </row>
    <row r="17" spans="1:8" ht="15" x14ac:dyDescent="0.2">
      <c r="A17" s="43" t="s">
        <v>30</v>
      </c>
      <c r="B17" s="39"/>
      <c r="C17" s="39"/>
      <c r="D17" s="39"/>
      <c r="E17" s="39"/>
      <c r="F17" s="48">
        <f>+C11</f>
        <v>256299</v>
      </c>
      <c r="G17" s="40"/>
    </row>
    <row r="18" spans="1:8" ht="15" x14ac:dyDescent="0.2">
      <c r="A18" s="43"/>
      <c r="B18" s="39"/>
      <c r="C18" s="39"/>
      <c r="D18" s="39"/>
      <c r="E18" s="39"/>
      <c r="F18" s="39"/>
      <c r="G18" s="40"/>
    </row>
    <row r="19" spans="1:8" ht="15" x14ac:dyDescent="0.2">
      <c r="A19" s="43" t="s">
        <v>31</v>
      </c>
      <c r="B19" s="39"/>
      <c r="C19" s="39"/>
      <c r="D19" s="39"/>
      <c r="E19" s="39"/>
      <c r="F19" s="62"/>
      <c r="G19" s="53">
        <f>ROUND(F15/F17,2)</f>
        <v>-0.27</v>
      </c>
    </row>
    <row r="20" spans="1:8" ht="15" x14ac:dyDescent="0.2">
      <c r="A20" s="43"/>
      <c r="B20" s="39"/>
      <c r="C20" s="39"/>
      <c r="D20" s="39"/>
      <c r="E20" s="39"/>
      <c r="F20" s="39"/>
      <c r="G20" s="53"/>
    </row>
    <row r="21" spans="1:8" ht="15" x14ac:dyDescent="0.2">
      <c r="A21" s="43"/>
      <c r="B21" s="39"/>
      <c r="C21" s="39"/>
      <c r="D21" s="39"/>
      <c r="E21" s="39"/>
      <c r="F21" s="39"/>
      <c r="G21" s="53"/>
    </row>
    <row r="22" spans="1:8" ht="15" x14ac:dyDescent="0.2">
      <c r="A22" s="43"/>
      <c r="B22" s="39"/>
      <c r="C22" s="39"/>
      <c r="D22" s="39"/>
      <c r="E22" s="39"/>
      <c r="F22" s="39"/>
      <c r="G22" s="53"/>
    </row>
    <row r="23" spans="1:8" ht="15.75" x14ac:dyDescent="0.25">
      <c r="A23" s="46" t="s">
        <v>93</v>
      </c>
      <c r="B23" s="37"/>
      <c r="C23" s="39"/>
      <c r="D23" s="39"/>
      <c r="E23" s="39"/>
      <c r="F23" s="54">
        <f>+F13</f>
        <v>438425.6481103421</v>
      </c>
      <c r="G23" s="53"/>
    </row>
    <row r="24" spans="1:8" ht="15" x14ac:dyDescent="0.2">
      <c r="A24" s="43" t="s">
        <v>30</v>
      </c>
      <c r="B24" s="39"/>
      <c r="C24" s="39"/>
      <c r="D24" s="39"/>
      <c r="E24" s="39"/>
      <c r="F24" s="48">
        <f>+C11</f>
        <v>256299</v>
      </c>
      <c r="G24" s="53"/>
    </row>
    <row r="25" spans="1:8" ht="17.25" x14ac:dyDescent="0.35">
      <c r="A25" s="43" t="s">
        <v>32</v>
      </c>
      <c r="B25" s="39"/>
      <c r="C25" s="39"/>
      <c r="D25" s="39"/>
      <c r="E25" s="39"/>
      <c r="F25" s="39"/>
      <c r="G25" s="56">
        <f>ROUND(+F23/F24,2)</f>
        <v>1.71</v>
      </c>
    </row>
    <row r="26" spans="1:8" ht="15" x14ac:dyDescent="0.2">
      <c r="A26" s="43"/>
      <c r="B26" s="39"/>
      <c r="C26" s="39"/>
      <c r="D26" s="39"/>
      <c r="E26" s="39"/>
      <c r="F26" s="39"/>
      <c r="G26" s="53"/>
    </row>
    <row r="27" spans="1:8" ht="15" x14ac:dyDescent="0.2">
      <c r="A27" s="43"/>
      <c r="B27" s="39"/>
      <c r="C27" s="39"/>
      <c r="D27" s="39"/>
      <c r="E27" s="39"/>
      <c r="F27" s="39"/>
      <c r="G27" s="53"/>
    </row>
    <row r="28" spans="1:8" ht="16.5" thickBot="1" x14ac:dyDescent="0.3">
      <c r="A28" s="36" t="s">
        <v>33</v>
      </c>
      <c r="B28" s="37"/>
      <c r="C28" s="39"/>
      <c r="D28" s="39"/>
      <c r="E28" s="39"/>
      <c r="F28" s="39"/>
      <c r="G28" s="59">
        <f>SUM(G19:G25)</f>
        <v>1.44</v>
      </c>
      <c r="H28" s="18"/>
    </row>
    <row r="29" spans="1:8" ht="14.25" thickTop="1" thickBot="1" x14ac:dyDescent="0.25">
      <c r="A29" s="19"/>
      <c r="B29" s="20"/>
      <c r="C29" s="20"/>
      <c r="D29" s="20"/>
      <c r="E29" s="20"/>
      <c r="F29" s="20"/>
      <c r="G29" s="21"/>
    </row>
    <row r="30" spans="1:8" ht="15" x14ac:dyDescent="0.2">
      <c r="A30" s="140" t="s">
        <v>34</v>
      </c>
      <c r="B30" s="141"/>
      <c r="C30" s="141"/>
      <c r="D30" s="141"/>
      <c r="E30" s="141"/>
      <c r="F30" s="141"/>
      <c r="G30" s="142"/>
    </row>
    <row r="31" spans="1:8" ht="15" x14ac:dyDescent="0.2">
      <c r="A31" s="50"/>
      <c r="B31" s="51"/>
      <c r="C31" s="51"/>
      <c r="D31" s="51"/>
      <c r="E31" s="51"/>
      <c r="F31" s="51"/>
      <c r="G31" s="65"/>
    </row>
    <row r="32" spans="1:8" ht="15.75" x14ac:dyDescent="0.25">
      <c r="A32" s="50"/>
      <c r="B32" s="51"/>
      <c r="C32" s="44"/>
      <c r="D32" s="44"/>
      <c r="E32" s="44" t="s">
        <v>18</v>
      </c>
      <c r="F32" s="44" t="s">
        <v>3</v>
      </c>
      <c r="G32" s="65"/>
    </row>
    <row r="33" spans="1:7" ht="15.75" x14ac:dyDescent="0.25">
      <c r="A33" s="50"/>
      <c r="B33" s="51"/>
      <c r="C33" s="66" t="s">
        <v>25</v>
      </c>
      <c r="D33" s="66"/>
      <c r="E33" s="66" t="s">
        <v>27</v>
      </c>
      <c r="F33" s="66" t="s">
        <v>6</v>
      </c>
      <c r="G33" s="65"/>
    </row>
    <row r="34" spans="1:7" ht="15.75" x14ac:dyDescent="0.25">
      <c r="A34" s="46" t="s">
        <v>84</v>
      </c>
      <c r="B34" s="37"/>
      <c r="C34" s="67"/>
      <c r="D34" s="67"/>
      <c r="E34" s="67"/>
      <c r="F34" s="67"/>
      <c r="G34" s="65"/>
    </row>
    <row r="35" spans="1:7" ht="15.75" x14ac:dyDescent="0.25">
      <c r="A35" s="43" t="s">
        <v>64</v>
      </c>
      <c r="B35" s="51"/>
      <c r="C35" s="68">
        <f>+'Res''l &amp; MF Customers'!C27+'Res''l &amp; MF Customers'!D27</f>
        <v>3158.3076923076924</v>
      </c>
      <c r="D35" s="68"/>
      <c r="E35" s="69">
        <f>+E90</f>
        <v>0.23</v>
      </c>
      <c r="F35" s="68">
        <f>E35*C35</f>
        <v>726.41076923076923</v>
      </c>
      <c r="G35" s="65"/>
    </row>
    <row r="36" spans="1:7" ht="17.25" x14ac:dyDescent="0.35">
      <c r="A36" s="50" t="s">
        <v>65</v>
      </c>
      <c r="B36" s="51"/>
      <c r="C36" s="52">
        <f>SUM('Res''l &amp; MF Customers'!E27:N27)</f>
        <v>15916.433333333332</v>
      </c>
      <c r="D36" s="52"/>
      <c r="E36" s="69">
        <f>+G105</f>
        <v>0.26</v>
      </c>
      <c r="F36" s="52">
        <f>E36*C36</f>
        <v>4138.2726666666667</v>
      </c>
      <c r="G36" s="65"/>
    </row>
    <row r="37" spans="1:7" ht="15" x14ac:dyDescent="0.2">
      <c r="A37" s="43" t="s">
        <v>3</v>
      </c>
      <c r="B37" s="51"/>
      <c r="C37" s="68">
        <f>SUM(C35:C36)</f>
        <v>19074.741025641026</v>
      </c>
      <c r="D37" s="68"/>
      <c r="E37" s="51"/>
      <c r="F37" s="68">
        <f>SUM(F35:F36)</f>
        <v>4864.6834358974356</v>
      </c>
      <c r="G37" s="65"/>
    </row>
    <row r="38" spans="1:7" ht="15" x14ac:dyDescent="0.2">
      <c r="A38" s="43"/>
      <c r="B38" s="51"/>
      <c r="C38" s="51"/>
      <c r="D38" s="51"/>
      <c r="E38" s="51"/>
      <c r="F38" s="51"/>
      <c r="G38" s="65"/>
    </row>
    <row r="39" spans="1:7" ht="15.75" x14ac:dyDescent="0.25">
      <c r="A39" s="36" t="s">
        <v>28</v>
      </c>
      <c r="B39" s="51"/>
      <c r="C39" s="51"/>
      <c r="D39" s="51"/>
      <c r="E39" s="51"/>
      <c r="F39" s="70">
        <f>+'Tons &amp; Revenue'!M123</f>
        <v>4652.3186509940306</v>
      </c>
      <c r="G39" s="65"/>
    </row>
    <row r="40" spans="1:7" ht="15" x14ac:dyDescent="0.2">
      <c r="A40" s="43"/>
      <c r="B40" s="51"/>
      <c r="C40" s="51"/>
      <c r="D40" s="51"/>
      <c r="E40" s="51"/>
      <c r="F40" s="51"/>
      <c r="G40" s="65"/>
    </row>
    <row r="41" spans="1:7" ht="15" x14ac:dyDescent="0.2">
      <c r="A41" s="43" t="s">
        <v>29</v>
      </c>
      <c r="B41" s="51"/>
      <c r="C41" s="51"/>
      <c r="D41" s="51"/>
      <c r="E41" s="51"/>
      <c r="F41" s="48">
        <f>F39-F37</f>
        <v>-212.36478490340505</v>
      </c>
      <c r="G41" s="65"/>
    </row>
    <row r="42" spans="1:7" ht="15" x14ac:dyDescent="0.2">
      <c r="A42" s="43"/>
      <c r="B42" s="51"/>
      <c r="C42" s="51"/>
      <c r="D42" s="51"/>
      <c r="E42" s="51"/>
      <c r="F42" s="51"/>
      <c r="G42" s="65"/>
    </row>
    <row r="43" spans="1:7" ht="15" x14ac:dyDescent="0.2">
      <c r="A43" s="43" t="s">
        <v>30</v>
      </c>
      <c r="B43" s="51"/>
      <c r="C43" s="51"/>
      <c r="D43" s="51"/>
      <c r="E43" s="51"/>
      <c r="F43" s="68">
        <f>+C37</f>
        <v>19074.741025641026</v>
      </c>
      <c r="G43" s="65"/>
    </row>
    <row r="44" spans="1:7" ht="15" x14ac:dyDescent="0.2">
      <c r="A44" s="43"/>
      <c r="B44" s="51"/>
      <c r="C44" s="51"/>
      <c r="D44" s="51"/>
      <c r="E44" s="51"/>
      <c r="F44" s="51"/>
      <c r="G44" s="65"/>
    </row>
    <row r="45" spans="1:7" ht="15" x14ac:dyDescent="0.2">
      <c r="A45" s="43" t="s">
        <v>31</v>
      </c>
      <c r="B45" s="51"/>
      <c r="C45" s="51"/>
      <c r="D45" s="51"/>
      <c r="E45" s="51"/>
      <c r="F45" s="51"/>
      <c r="G45" s="71">
        <f>ROUND(F41/F43,2)</f>
        <v>-0.01</v>
      </c>
    </row>
    <row r="46" spans="1:7" ht="15" x14ac:dyDescent="0.2">
      <c r="A46" s="43"/>
      <c r="B46" s="51"/>
      <c r="C46" s="51"/>
      <c r="D46" s="51"/>
      <c r="E46" s="51"/>
      <c r="F46" s="51"/>
      <c r="G46" s="71"/>
    </row>
    <row r="47" spans="1:7" ht="15" x14ac:dyDescent="0.2">
      <c r="A47" s="43"/>
      <c r="B47" s="51"/>
      <c r="C47" s="51"/>
      <c r="D47" s="51"/>
      <c r="E47" s="51"/>
      <c r="F47" s="68"/>
      <c r="G47" s="65"/>
    </row>
    <row r="48" spans="1:7" ht="15.75" x14ac:dyDescent="0.25">
      <c r="A48" s="43"/>
      <c r="B48" s="37"/>
      <c r="C48" s="51"/>
      <c r="D48" s="51"/>
      <c r="E48" s="51"/>
      <c r="F48" s="68"/>
      <c r="G48" s="65"/>
    </row>
    <row r="49" spans="1:8" ht="15.75" x14ac:dyDescent="0.25">
      <c r="A49" s="46" t="s">
        <v>93</v>
      </c>
      <c r="B49" s="51"/>
      <c r="C49" s="51"/>
      <c r="D49" s="51"/>
      <c r="E49" s="51"/>
      <c r="F49" s="55">
        <f>+F39</f>
        <v>4652.3186509940306</v>
      </c>
      <c r="G49" s="65"/>
    </row>
    <row r="50" spans="1:8" ht="15" x14ac:dyDescent="0.2">
      <c r="A50" s="43" t="s">
        <v>30</v>
      </c>
      <c r="B50" s="51"/>
      <c r="C50" s="51"/>
      <c r="D50" s="51"/>
      <c r="E50" s="51"/>
      <c r="F50" s="68">
        <f>+C37</f>
        <v>19074.741025641026</v>
      </c>
      <c r="G50" s="65"/>
    </row>
    <row r="51" spans="1:8" ht="17.25" x14ac:dyDescent="0.35">
      <c r="A51" s="43" t="s">
        <v>32</v>
      </c>
      <c r="B51" s="51"/>
      <c r="C51" s="51"/>
      <c r="D51" s="51"/>
      <c r="E51" s="51"/>
      <c r="F51" s="51"/>
      <c r="G51" s="58">
        <f>ROUND(+F49/F50,2)</f>
        <v>0.24</v>
      </c>
      <c r="H51" s="18"/>
    </row>
    <row r="52" spans="1:8" ht="17.25" x14ac:dyDescent="0.35">
      <c r="A52" s="43"/>
      <c r="B52" s="51"/>
      <c r="C52" s="51"/>
      <c r="D52" s="51"/>
      <c r="E52" s="51"/>
      <c r="F52" s="51"/>
      <c r="G52" s="58"/>
    </row>
    <row r="53" spans="1:8" ht="16.5" thickBot="1" x14ac:dyDescent="0.3">
      <c r="A53" s="36" t="s">
        <v>35</v>
      </c>
      <c r="B53" s="37"/>
      <c r="C53" s="51"/>
      <c r="D53" s="51"/>
      <c r="E53" s="51"/>
      <c r="F53" s="51"/>
      <c r="G53" s="72">
        <f>+G51+G45+G46</f>
        <v>0.22999999999999998</v>
      </c>
    </row>
    <row r="54" spans="1:8" ht="16.5" thickTop="1" thickBot="1" x14ac:dyDescent="0.25">
      <c r="A54" s="73"/>
      <c r="B54" s="74"/>
      <c r="C54" s="74"/>
      <c r="D54" s="74"/>
      <c r="E54" s="74"/>
      <c r="F54" s="74"/>
      <c r="G54" s="75"/>
    </row>
    <row r="55" spans="1:8" ht="23.25" x14ac:dyDescent="0.35">
      <c r="A55" s="32" t="s">
        <v>63</v>
      </c>
      <c r="B55" s="33"/>
      <c r="C55" s="34"/>
      <c r="D55" s="34"/>
      <c r="E55" s="34"/>
      <c r="F55" s="34"/>
      <c r="G55" s="35"/>
    </row>
    <row r="56" spans="1:8" ht="15.75" x14ac:dyDescent="0.25">
      <c r="A56" s="36" t="s">
        <v>85</v>
      </c>
      <c r="B56" s="37"/>
      <c r="C56" s="38"/>
      <c r="D56" s="38"/>
      <c r="E56" s="39"/>
      <c r="F56" s="39"/>
      <c r="G56" s="40"/>
    </row>
    <row r="57" spans="1:8" ht="15.75" x14ac:dyDescent="0.25">
      <c r="A57" s="41"/>
      <c r="B57" s="42"/>
      <c r="C57" s="39"/>
      <c r="D57" s="39"/>
      <c r="E57" s="39"/>
      <c r="F57" s="39"/>
      <c r="G57" s="40"/>
    </row>
    <row r="58" spans="1:8" ht="15" x14ac:dyDescent="0.2">
      <c r="A58" s="140" t="s">
        <v>26</v>
      </c>
      <c r="B58" s="141"/>
      <c r="C58" s="141"/>
      <c r="D58" s="141"/>
      <c r="E58" s="141"/>
      <c r="F58" s="141"/>
      <c r="G58" s="142"/>
    </row>
    <row r="59" spans="1:8" ht="15" x14ac:dyDescent="0.2">
      <c r="A59" s="43"/>
      <c r="B59" s="39"/>
      <c r="C59" s="39"/>
      <c r="D59" s="39"/>
      <c r="E59" s="39"/>
      <c r="F59" s="39"/>
      <c r="G59" s="40"/>
    </row>
    <row r="60" spans="1:8" ht="15.75" x14ac:dyDescent="0.25">
      <c r="A60" s="43"/>
      <c r="B60" s="39"/>
      <c r="C60" s="44"/>
      <c r="D60" s="44"/>
      <c r="E60" s="44" t="s">
        <v>18</v>
      </c>
      <c r="F60" s="44" t="s">
        <v>3</v>
      </c>
      <c r="G60" s="40"/>
    </row>
    <row r="61" spans="1:8" ht="15.75" x14ac:dyDescent="0.25">
      <c r="A61" s="43"/>
      <c r="B61" s="39"/>
      <c r="C61" s="45" t="s">
        <v>5</v>
      </c>
      <c r="D61" s="45"/>
      <c r="E61" s="45" t="s">
        <v>27</v>
      </c>
      <c r="F61" s="45" t="s">
        <v>6</v>
      </c>
      <c r="G61" s="40"/>
    </row>
    <row r="62" spans="1:8" ht="15.75" x14ac:dyDescent="0.25">
      <c r="A62" s="46" t="s">
        <v>67</v>
      </c>
      <c r="B62" s="37"/>
      <c r="C62" s="47"/>
      <c r="D62" s="47"/>
      <c r="E62" s="47"/>
      <c r="F62" s="47"/>
      <c r="G62" s="40"/>
    </row>
    <row r="63" spans="1:8" ht="15.75" x14ac:dyDescent="0.25">
      <c r="A63" s="43" t="s">
        <v>64</v>
      </c>
      <c r="B63" s="39"/>
      <c r="C63" s="48">
        <v>41334</v>
      </c>
      <c r="D63" s="48"/>
      <c r="E63" s="49">
        <f>+E118</f>
        <v>1.6641107756753206</v>
      </c>
      <c r="F63" s="48">
        <f>C63*E63</f>
        <v>68784.354801763708</v>
      </c>
      <c r="G63" s="40"/>
    </row>
    <row r="64" spans="1:8" ht="17.25" x14ac:dyDescent="0.35">
      <c r="A64" s="50" t="s">
        <v>65</v>
      </c>
      <c r="B64" s="51"/>
      <c r="C64" s="52">
        <v>206670</v>
      </c>
      <c r="D64" s="52"/>
      <c r="E64" s="49">
        <f>+G133</f>
        <v>1.96</v>
      </c>
      <c r="F64" s="52">
        <f>C64*E64</f>
        <v>405073.2</v>
      </c>
      <c r="G64" s="40"/>
    </row>
    <row r="65" spans="1:7" ht="17.25" x14ac:dyDescent="0.35">
      <c r="A65" s="43" t="s">
        <v>3</v>
      </c>
      <c r="B65" s="39"/>
      <c r="C65" s="48">
        <f>SUM(C63:C64)</f>
        <v>248004</v>
      </c>
      <c r="D65" s="52"/>
      <c r="E65" s="39"/>
      <c r="F65" s="48">
        <f>SUM(F63:F64)</f>
        <v>473857.55480176373</v>
      </c>
      <c r="G65" s="40"/>
    </row>
    <row r="66" spans="1:7" ht="15" x14ac:dyDescent="0.2">
      <c r="A66" s="43"/>
      <c r="B66" s="39"/>
      <c r="C66" s="39"/>
      <c r="D66" s="39"/>
      <c r="E66" s="39"/>
      <c r="F66" s="39"/>
      <c r="G66" s="40"/>
    </row>
    <row r="67" spans="1:7" ht="15.75" x14ac:dyDescent="0.25">
      <c r="A67" s="36" t="s">
        <v>28</v>
      </c>
      <c r="B67" s="39"/>
      <c r="C67" s="39"/>
      <c r="D67" s="39"/>
      <c r="E67" s="39"/>
      <c r="F67" s="48">
        <v>494632</v>
      </c>
      <c r="G67" s="40"/>
    </row>
    <row r="68" spans="1:7" ht="15" x14ac:dyDescent="0.2">
      <c r="A68" s="43"/>
      <c r="B68" s="39"/>
      <c r="C68" s="39"/>
      <c r="D68" s="39"/>
      <c r="E68" s="39"/>
      <c r="F68" s="39"/>
      <c r="G68" s="40"/>
    </row>
    <row r="69" spans="1:7" ht="15" x14ac:dyDescent="0.2">
      <c r="A69" s="43" t="s">
        <v>29</v>
      </c>
      <c r="B69" s="39"/>
      <c r="C69" s="39"/>
      <c r="D69" s="39"/>
      <c r="E69" s="39"/>
      <c r="F69" s="48">
        <v>20775</v>
      </c>
      <c r="G69" s="40"/>
    </row>
    <row r="70" spans="1:7" ht="15" x14ac:dyDescent="0.2">
      <c r="A70" s="43"/>
      <c r="B70" s="39"/>
      <c r="C70" s="39"/>
      <c r="D70" s="39"/>
      <c r="E70" s="39"/>
      <c r="F70" s="39"/>
      <c r="G70" s="40"/>
    </row>
    <row r="71" spans="1:7" ht="15" x14ac:dyDescent="0.2">
      <c r="A71" s="43" t="s">
        <v>30</v>
      </c>
      <c r="B71" s="39"/>
      <c r="C71" s="39"/>
      <c r="D71" s="39"/>
      <c r="E71" s="39"/>
      <c r="F71" s="48">
        <f>+C65</f>
        <v>248004</v>
      </c>
      <c r="G71" s="40"/>
    </row>
    <row r="72" spans="1:7" ht="15" x14ac:dyDescent="0.2">
      <c r="A72" s="43"/>
      <c r="B72" s="39"/>
      <c r="C72" s="39"/>
      <c r="D72" s="39"/>
      <c r="E72" s="39"/>
      <c r="F72" s="39"/>
      <c r="G72" s="40"/>
    </row>
    <row r="73" spans="1:7" ht="15" x14ac:dyDescent="0.2">
      <c r="A73" s="43" t="s">
        <v>31</v>
      </c>
      <c r="B73" s="39"/>
      <c r="C73" s="39"/>
      <c r="D73" s="39"/>
      <c r="E73" s="39"/>
      <c r="F73" s="62"/>
      <c r="G73" s="53">
        <f>ROUND(F69/F71,2)</f>
        <v>0.08</v>
      </c>
    </row>
    <row r="74" spans="1:7" ht="15" x14ac:dyDescent="0.2">
      <c r="A74" s="43"/>
      <c r="B74" s="39"/>
      <c r="C74" s="39"/>
      <c r="D74" s="39"/>
      <c r="E74" s="39"/>
      <c r="F74" s="39"/>
      <c r="G74" s="53"/>
    </row>
    <row r="75" spans="1:7" ht="15" x14ac:dyDescent="0.2">
      <c r="A75" s="43"/>
      <c r="B75" s="39"/>
      <c r="C75" s="39"/>
      <c r="D75" s="39"/>
      <c r="E75" s="39"/>
      <c r="F75" s="39"/>
      <c r="G75" s="53"/>
    </row>
    <row r="76" spans="1:7" ht="15" x14ac:dyDescent="0.2">
      <c r="A76" s="43"/>
      <c r="B76" s="39"/>
      <c r="C76" s="39"/>
      <c r="D76" s="39"/>
      <c r="E76" s="39"/>
      <c r="F76" s="39"/>
      <c r="G76" s="53"/>
    </row>
    <row r="77" spans="1:7" ht="15.75" x14ac:dyDescent="0.25">
      <c r="A77" s="46" t="s">
        <v>84</v>
      </c>
      <c r="B77" s="37"/>
      <c r="C77" s="39"/>
      <c r="D77" s="39"/>
      <c r="E77" s="39"/>
      <c r="F77" s="54">
        <f>+F67</f>
        <v>494632</v>
      </c>
      <c r="G77" s="53"/>
    </row>
    <row r="78" spans="1:7" ht="15" x14ac:dyDescent="0.2">
      <c r="A78" s="43" t="s">
        <v>30</v>
      </c>
      <c r="B78" s="39"/>
      <c r="C78" s="39"/>
      <c r="D78" s="39"/>
      <c r="E78" s="39"/>
      <c r="F78" s="48">
        <f>+C65</f>
        <v>248004</v>
      </c>
      <c r="G78" s="53"/>
    </row>
    <row r="79" spans="1:7" ht="17.25" x14ac:dyDescent="0.35">
      <c r="A79" s="43" t="s">
        <v>32</v>
      </c>
      <c r="B79" s="39"/>
      <c r="C79" s="39"/>
      <c r="D79" s="39"/>
      <c r="E79" s="39"/>
      <c r="F79" s="39"/>
      <c r="G79" s="56">
        <f>ROUND(+F77/F78,2)</f>
        <v>1.99</v>
      </c>
    </row>
    <row r="80" spans="1:7" ht="15" x14ac:dyDescent="0.2">
      <c r="A80" s="43"/>
      <c r="B80" s="39"/>
      <c r="C80" s="39"/>
      <c r="D80" s="39"/>
      <c r="E80" s="39"/>
      <c r="F80" s="39"/>
      <c r="G80" s="53"/>
    </row>
    <row r="81" spans="1:7" ht="15" x14ac:dyDescent="0.2">
      <c r="A81" s="43"/>
      <c r="B81" s="39"/>
      <c r="C81" s="39"/>
      <c r="D81" s="39"/>
      <c r="E81" s="39"/>
      <c r="F81" s="39"/>
      <c r="G81" s="53"/>
    </row>
    <row r="82" spans="1:7" ht="16.5" thickBot="1" x14ac:dyDescent="0.3">
      <c r="A82" s="36" t="s">
        <v>33</v>
      </c>
      <c r="B82" s="37"/>
      <c r="C82" s="39"/>
      <c r="D82" s="39"/>
      <c r="E82" s="39"/>
      <c r="F82" s="39"/>
      <c r="G82" s="59">
        <f>SUM(G73:G79)</f>
        <v>2.0699999999999998</v>
      </c>
    </row>
    <row r="83" spans="1:7" ht="14.25" thickTop="1" thickBot="1" x14ac:dyDescent="0.25">
      <c r="A83" s="19"/>
      <c r="B83" s="20"/>
      <c r="C83" s="20"/>
      <c r="D83" s="20"/>
      <c r="E83" s="20"/>
      <c r="F83" s="20"/>
      <c r="G83" s="21"/>
    </row>
    <row r="84" spans="1:7" ht="15" x14ac:dyDescent="0.2">
      <c r="A84" s="140" t="s">
        <v>34</v>
      </c>
      <c r="B84" s="141"/>
      <c r="C84" s="141"/>
      <c r="D84" s="141"/>
      <c r="E84" s="141"/>
      <c r="F84" s="141"/>
      <c r="G84" s="142"/>
    </row>
    <row r="85" spans="1:7" ht="15" x14ac:dyDescent="0.2">
      <c r="A85" s="50"/>
      <c r="B85" s="51"/>
      <c r="C85" s="51"/>
      <c r="D85" s="51"/>
      <c r="E85" s="51"/>
      <c r="F85" s="51"/>
      <c r="G85" s="65"/>
    </row>
    <row r="86" spans="1:7" ht="15.75" x14ac:dyDescent="0.25">
      <c r="A86" s="50"/>
      <c r="B86" s="51"/>
      <c r="C86" s="44"/>
      <c r="D86" s="44"/>
      <c r="E86" s="44" t="s">
        <v>18</v>
      </c>
      <c r="F86" s="44" t="s">
        <v>3</v>
      </c>
      <c r="G86" s="65"/>
    </row>
    <row r="87" spans="1:7" ht="15.75" x14ac:dyDescent="0.25">
      <c r="A87" s="50"/>
      <c r="B87" s="51"/>
      <c r="C87" s="66" t="s">
        <v>25</v>
      </c>
      <c r="D87" s="66"/>
      <c r="E87" s="66" t="s">
        <v>27</v>
      </c>
      <c r="F87" s="66" t="s">
        <v>6</v>
      </c>
      <c r="G87" s="65"/>
    </row>
    <row r="88" spans="1:7" ht="15.75" x14ac:dyDescent="0.25">
      <c r="A88" s="46" t="s">
        <v>67</v>
      </c>
      <c r="B88" s="37"/>
      <c r="C88" s="67"/>
      <c r="D88" s="67"/>
      <c r="E88" s="67"/>
      <c r="F88" s="67"/>
      <c r="G88" s="65"/>
    </row>
    <row r="89" spans="1:7" ht="15.75" x14ac:dyDescent="0.25">
      <c r="A89" s="43" t="s">
        <v>64</v>
      </c>
      <c r="B89" s="51"/>
      <c r="C89" s="68">
        <v>3534</v>
      </c>
      <c r="D89" s="68"/>
      <c r="E89" s="69">
        <f>+E144</f>
        <v>0.19</v>
      </c>
      <c r="F89" s="68">
        <f>E89*C89</f>
        <v>671.46</v>
      </c>
      <c r="G89" s="65"/>
    </row>
    <row r="90" spans="1:7" ht="17.25" x14ac:dyDescent="0.35">
      <c r="A90" s="50" t="s">
        <v>65</v>
      </c>
      <c r="B90" s="51"/>
      <c r="C90" s="52">
        <v>17099</v>
      </c>
      <c r="D90" s="52"/>
      <c r="E90" s="69">
        <f>+G159</f>
        <v>0.23</v>
      </c>
      <c r="F90" s="52">
        <f>E90*C90</f>
        <v>3932.77</v>
      </c>
      <c r="G90" s="65"/>
    </row>
    <row r="91" spans="1:7" ht="15" x14ac:dyDescent="0.2">
      <c r="A91" s="43" t="s">
        <v>3</v>
      </c>
      <c r="B91" s="51"/>
      <c r="C91" s="68">
        <f>SUM(C89:C90)</f>
        <v>20633</v>
      </c>
      <c r="D91" s="68"/>
      <c r="E91" s="51"/>
      <c r="F91" s="68">
        <f>SUM(F89:F90)</f>
        <v>4604.2299999999996</v>
      </c>
      <c r="G91" s="65"/>
    </row>
    <row r="92" spans="1:7" ht="15" x14ac:dyDescent="0.2">
      <c r="A92" s="43"/>
      <c r="B92" s="51"/>
      <c r="C92" s="51"/>
      <c r="D92" s="51"/>
      <c r="E92" s="51"/>
      <c r="F92" s="51"/>
      <c r="G92" s="65"/>
    </row>
    <row r="93" spans="1:7" ht="15.75" x14ac:dyDescent="0.25">
      <c r="A93" s="36" t="s">
        <v>28</v>
      </c>
      <c r="B93" s="51"/>
      <c r="C93" s="51"/>
      <c r="D93" s="51"/>
      <c r="E93" s="51"/>
      <c r="F93" s="70">
        <v>5419</v>
      </c>
      <c r="G93" s="65"/>
    </row>
    <row r="94" spans="1:7" ht="15" x14ac:dyDescent="0.2">
      <c r="A94" s="43"/>
      <c r="B94" s="51"/>
      <c r="C94" s="51"/>
      <c r="D94" s="51"/>
      <c r="E94" s="51"/>
      <c r="F94" s="51"/>
      <c r="G94" s="65"/>
    </row>
    <row r="95" spans="1:7" ht="15" x14ac:dyDescent="0.2">
      <c r="A95" s="43" t="s">
        <v>29</v>
      </c>
      <c r="B95" s="51"/>
      <c r="C95" s="51"/>
      <c r="D95" s="51"/>
      <c r="E95" s="51"/>
      <c r="F95" s="68">
        <v>814</v>
      </c>
      <c r="G95" s="65"/>
    </row>
    <row r="96" spans="1:7" ht="15" x14ac:dyDescent="0.2">
      <c r="A96" s="43"/>
      <c r="B96" s="51"/>
      <c r="C96" s="51"/>
      <c r="D96" s="51"/>
      <c r="E96" s="51"/>
      <c r="F96" s="51"/>
      <c r="G96" s="65"/>
    </row>
    <row r="97" spans="1:7" ht="15" x14ac:dyDescent="0.2">
      <c r="A97" s="43" t="s">
        <v>30</v>
      </c>
      <c r="B97" s="51"/>
      <c r="C97" s="51"/>
      <c r="D97" s="51"/>
      <c r="E97" s="51"/>
      <c r="F97" s="68">
        <f>+C91</f>
        <v>20633</v>
      </c>
      <c r="G97" s="65"/>
    </row>
    <row r="98" spans="1:7" ht="15" x14ac:dyDescent="0.2">
      <c r="A98" s="43"/>
      <c r="B98" s="51"/>
      <c r="C98" s="51"/>
      <c r="D98" s="51"/>
      <c r="E98" s="51"/>
      <c r="F98" s="51"/>
      <c r="G98" s="65"/>
    </row>
    <row r="99" spans="1:7" ht="15" x14ac:dyDescent="0.2">
      <c r="A99" s="43" t="s">
        <v>31</v>
      </c>
      <c r="B99" s="51"/>
      <c r="C99" s="51"/>
      <c r="D99" s="51"/>
      <c r="E99" s="51"/>
      <c r="F99" s="51"/>
      <c r="G99" s="71">
        <f>ROUND(F95/F97,2)</f>
        <v>0.04</v>
      </c>
    </row>
    <row r="100" spans="1:7" ht="15" x14ac:dyDescent="0.2">
      <c r="A100" s="43"/>
      <c r="B100" s="51"/>
      <c r="C100" s="51"/>
      <c r="D100" s="51"/>
      <c r="E100" s="51"/>
      <c r="F100" s="51"/>
      <c r="G100" s="71"/>
    </row>
    <row r="101" spans="1:7" ht="15" x14ac:dyDescent="0.2">
      <c r="A101" s="43"/>
      <c r="B101" s="51"/>
      <c r="C101" s="51"/>
      <c r="D101" s="51"/>
      <c r="E101" s="51"/>
      <c r="F101" s="68"/>
      <c r="G101" s="65"/>
    </row>
    <row r="102" spans="1:7" ht="15.75" x14ac:dyDescent="0.25">
      <c r="A102" s="43"/>
      <c r="B102" s="37"/>
      <c r="C102" s="51"/>
      <c r="D102" s="51"/>
      <c r="E102" s="51"/>
      <c r="F102" s="68"/>
      <c r="G102" s="65"/>
    </row>
    <row r="103" spans="1:7" ht="15.75" x14ac:dyDescent="0.25">
      <c r="A103" s="46" t="s">
        <v>84</v>
      </c>
      <c r="B103" s="51"/>
      <c r="C103" s="51"/>
      <c r="D103" s="51"/>
      <c r="E103" s="51"/>
      <c r="F103" s="55">
        <f>+F93</f>
        <v>5419</v>
      </c>
      <c r="G103" s="65"/>
    </row>
    <row r="104" spans="1:7" ht="15" x14ac:dyDescent="0.2">
      <c r="A104" s="43" t="s">
        <v>30</v>
      </c>
      <c r="B104" s="51"/>
      <c r="C104" s="51"/>
      <c r="D104" s="51"/>
      <c r="E104" s="51"/>
      <c r="F104" s="68">
        <f>+C91</f>
        <v>20633</v>
      </c>
      <c r="G104" s="65"/>
    </row>
    <row r="105" spans="1:7" ht="17.25" x14ac:dyDescent="0.35">
      <c r="A105" s="43" t="s">
        <v>32</v>
      </c>
      <c r="B105" s="51"/>
      <c r="C105" s="51"/>
      <c r="D105" s="51"/>
      <c r="E105" s="51"/>
      <c r="F105" s="51"/>
      <c r="G105" s="58">
        <f>ROUND(+F103/F104,2)</f>
        <v>0.26</v>
      </c>
    </row>
    <row r="106" spans="1:7" ht="17.25" x14ac:dyDescent="0.35">
      <c r="A106" s="43"/>
      <c r="B106" s="51"/>
      <c r="C106" s="51"/>
      <c r="D106" s="51"/>
      <c r="E106" s="51"/>
      <c r="F106" s="51"/>
      <c r="G106" s="58"/>
    </row>
    <row r="107" spans="1:7" ht="16.5" thickBot="1" x14ac:dyDescent="0.3">
      <c r="A107" s="36" t="s">
        <v>35</v>
      </c>
      <c r="B107" s="37"/>
      <c r="C107" s="51"/>
      <c r="D107" s="51"/>
      <c r="E107" s="51"/>
      <c r="F107" s="51"/>
      <c r="G107" s="72">
        <f>+G105+G99+G100</f>
        <v>0.3</v>
      </c>
    </row>
    <row r="108" spans="1:7" ht="16.5" thickTop="1" thickBot="1" x14ac:dyDescent="0.25">
      <c r="A108" s="73"/>
      <c r="B108" s="74"/>
      <c r="C108" s="74"/>
      <c r="D108" s="74"/>
      <c r="E108" s="74"/>
      <c r="F108" s="74"/>
      <c r="G108" s="75"/>
    </row>
    <row r="109" spans="1:7" ht="23.25" x14ac:dyDescent="0.35">
      <c r="A109" s="32" t="s">
        <v>63</v>
      </c>
      <c r="B109" s="33"/>
      <c r="C109" s="34"/>
      <c r="D109" s="34"/>
      <c r="E109" s="34"/>
      <c r="F109" s="34"/>
      <c r="G109" s="35"/>
    </row>
    <row r="110" spans="1:7" ht="15.75" x14ac:dyDescent="0.25">
      <c r="A110" s="36" t="s">
        <v>61</v>
      </c>
      <c r="B110" s="37"/>
      <c r="C110" s="38"/>
      <c r="D110" s="38"/>
      <c r="E110" s="39"/>
      <c r="F110" s="39"/>
      <c r="G110" s="40"/>
    </row>
    <row r="111" spans="1:7" ht="15.75" x14ac:dyDescent="0.25">
      <c r="A111" s="41"/>
      <c r="B111" s="42"/>
      <c r="C111" s="39"/>
      <c r="D111" s="39"/>
      <c r="E111" s="39"/>
      <c r="F111" s="39"/>
      <c r="G111" s="40"/>
    </row>
    <row r="112" spans="1:7" ht="15" x14ac:dyDescent="0.2">
      <c r="A112" s="140" t="s">
        <v>26</v>
      </c>
      <c r="B112" s="141"/>
      <c r="C112" s="141"/>
      <c r="D112" s="141"/>
      <c r="E112" s="141"/>
      <c r="F112" s="141"/>
      <c r="G112" s="142"/>
    </row>
    <row r="113" spans="1:7" ht="15" x14ac:dyDescent="0.2">
      <c r="A113" s="43"/>
      <c r="B113" s="39"/>
      <c r="C113" s="39"/>
      <c r="D113" s="39"/>
      <c r="E113" s="39"/>
      <c r="F113" s="39"/>
      <c r="G113" s="40"/>
    </row>
    <row r="114" spans="1:7" ht="15.75" x14ac:dyDescent="0.25">
      <c r="A114" s="43"/>
      <c r="B114" s="39"/>
      <c r="C114" s="44"/>
      <c r="D114" s="44"/>
      <c r="E114" s="44" t="s">
        <v>18</v>
      </c>
      <c r="F114" s="44" t="s">
        <v>3</v>
      </c>
      <c r="G114" s="40"/>
    </row>
    <row r="115" spans="1:7" ht="15.75" x14ac:dyDescent="0.25">
      <c r="A115" s="43"/>
      <c r="B115" s="39"/>
      <c r="C115" s="45" t="s">
        <v>5</v>
      </c>
      <c r="D115" s="45"/>
      <c r="E115" s="45" t="s">
        <v>27</v>
      </c>
      <c r="F115" s="45" t="s">
        <v>6</v>
      </c>
      <c r="G115" s="40"/>
    </row>
    <row r="116" spans="1:7" ht="15.75" x14ac:dyDescent="0.25">
      <c r="A116" s="46" t="s">
        <v>66</v>
      </c>
      <c r="B116" s="37"/>
      <c r="C116" s="47"/>
      <c r="D116" s="47"/>
      <c r="E116" s="47"/>
      <c r="F116" s="47"/>
      <c r="G116" s="40"/>
    </row>
    <row r="117" spans="1:7" ht="15.75" x14ac:dyDescent="0.25">
      <c r="A117" s="43" t="s">
        <v>64</v>
      </c>
      <c r="B117" s="39"/>
      <c r="C117" s="48">
        <v>90954</v>
      </c>
      <c r="D117" s="48"/>
      <c r="E117" s="49">
        <f>+E172</f>
        <v>0.91</v>
      </c>
      <c r="F117" s="48">
        <f>C117*E117</f>
        <v>82768.14</v>
      </c>
      <c r="G117" s="40"/>
    </row>
    <row r="118" spans="1:7" ht="17.25" x14ac:dyDescent="0.35">
      <c r="A118" s="50" t="s">
        <v>65</v>
      </c>
      <c r="B118" s="51"/>
      <c r="C118" s="52">
        <v>454770</v>
      </c>
      <c r="D118" s="52"/>
      <c r="E118" s="49">
        <f>+G187</f>
        <v>1.6641107756753206</v>
      </c>
      <c r="F118" s="52">
        <f>C118*E118</f>
        <v>756787.65745386551</v>
      </c>
      <c r="G118" s="40"/>
    </row>
    <row r="119" spans="1:7" ht="15" x14ac:dyDescent="0.2">
      <c r="A119" s="43" t="s">
        <v>3</v>
      </c>
      <c r="B119" s="39"/>
      <c r="C119" s="48">
        <f>SUM(C117:C118)</f>
        <v>545724</v>
      </c>
      <c r="D119" s="48"/>
      <c r="E119" s="39"/>
      <c r="F119" s="48">
        <f>SUM(F117:F118)</f>
        <v>839555.79745386553</v>
      </c>
      <c r="G119" s="40"/>
    </row>
    <row r="120" spans="1:7" ht="15" x14ac:dyDescent="0.2">
      <c r="A120" s="43"/>
      <c r="B120" s="39"/>
      <c r="C120" s="39"/>
      <c r="D120" s="39"/>
      <c r="E120" s="39"/>
      <c r="F120" s="39"/>
      <c r="G120" s="40"/>
    </row>
    <row r="121" spans="1:7" ht="15.75" x14ac:dyDescent="0.25">
      <c r="A121" s="36" t="s">
        <v>28</v>
      </c>
      <c r="B121" s="39"/>
      <c r="C121" s="39"/>
      <c r="D121" s="39"/>
      <c r="E121" s="39"/>
      <c r="F121" s="48">
        <v>1070318.8014882323</v>
      </c>
      <c r="G121" s="40"/>
    </row>
    <row r="122" spans="1:7" ht="15" x14ac:dyDescent="0.2">
      <c r="A122" s="43"/>
      <c r="B122" s="39"/>
      <c r="C122" s="39"/>
      <c r="D122" s="39"/>
      <c r="E122" s="39"/>
      <c r="F122" s="39"/>
      <c r="G122" s="40"/>
    </row>
    <row r="123" spans="1:7" ht="15" x14ac:dyDescent="0.2">
      <c r="A123" s="43" t="s">
        <v>29</v>
      </c>
      <c r="B123" s="39"/>
      <c r="C123" s="39"/>
      <c r="D123" s="39"/>
      <c r="E123" s="39"/>
      <c r="F123" s="48">
        <f>F121-F119</f>
        <v>230763.00403436681</v>
      </c>
      <c r="G123" s="40"/>
    </row>
    <row r="124" spans="1:7" ht="15" x14ac:dyDescent="0.2">
      <c r="A124" s="43"/>
      <c r="B124" s="39"/>
      <c r="C124" s="39"/>
      <c r="D124" s="39"/>
      <c r="E124" s="39"/>
      <c r="F124" s="39"/>
      <c r="G124" s="40"/>
    </row>
    <row r="125" spans="1:7" ht="15" x14ac:dyDescent="0.2">
      <c r="A125" s="43" t="s">
        <v>30</v>
      </c>
      <c r="B125" s="39"/>
      <c r="C125" s="39"/>
      <c r="D125" s="39"/>
      <c r="E125" s="39"/>
      <c r="F125" s="48">
        <f>+C119</f>
        <v>545724</v>
      </c>
      <c r="G125" s="40"/>
    </row>
    <row r="126" spans="1:7" ht="15" x14ac:dyDescent="0.2">
      <c r="A126" s="43"/>
      <c r="B126" s="39"/>
      <c r="C126" s="39"/>
      <c r="D126" s="39"/>
      <c r="E126" s="39"/>
      <c r="F126" s="39"/>
      <c r="G126" s="40"/>
    </row>
    <row r="127" spans="1:7" ht="15" x14ac:dyDescent="0.2">
      <c r="A127" s="43" t="s">
        <v>31</v>
      </c>
      <c r="B127" s="39"/>
      <c r="C127" s="39"/>
      <c r="D127" s="39"/>
      <c r="E127" s="39"/>
      <c r="F127" s="62"/>
      <c r="G127" s="53">
        <f>ROUND(F123/F125,2)</f>
        <v>0.42</v>
      </c>
    </row>
    <row r="128" spans="1:7" ht="15" x14ac:dyDescent="0.2">
      <c r="A128" s="43"/>
      <c r="B128" s="39"/>
      <c r="C128" s="39"/>
      <c r="D128" s="39"/>
      <c r="E128" s="39"/>
      <c r="F128" s="39"/>
      <c r="G128" s="53"/>
    </row>
    <row r="129" spans="1:7" ht="15" x14ac:dyDescent="0.2">
      <c r="A129" s="43"/>
      <c r="B129" s="39"/>
      <c r="C129" s="39"/>
      <c r="D129" s="39"/>
      <c r="E129" s="39"/>
      <c r="F129" s="39"/>
      <c r="G129" s="53"/>
    </row>
    <row r="130" spans="1:7" ht="15" x14ac:dyDescent="0.2">
      <c r="A130" s="43"/>
      <c r="B130" s="39"/>
      <c r="C130" s="39"/>
      <c r="D130" s="39"/>
      <c r="E130" s="39"/>
      <c r="F130" s="39"/>
      <c r="G130" s="53"/>
    </row>
    <row r="131" spans="1:7" ht="15.75" x14ac:dyDescent="0.25">
      <c r="A131" s="46" t="s">
        <v>67</v>
      </c>
      <c r="B131" s="37"/>
      <c r="C131" s="39"/>
      <c r="D131" s="39"/>
      <c r="E131" s="39"/>
      <c r="F131" s="54">
        <f>+F121</f>
        <v>1070318.8014882323</v>
      </c>
      <c r="G131" s="53"/>
    </row>
    <row r="132" spans="1:7" ht="15" x14ac:dyDescent="0.2">
      <c r="A132" s="43" t="s">
        <v>30</v>
      </c>
      <c r="B132" s="39"/>
      <c r="C132" s="39"/>
      <c r="D132" s="39"/>
      <c r="E132" s="39"/>
      <c r="F132" s="48">
        <f>+C119</f>
        <v>545724</v>
      </c>
      <c r="G132" s="53"/>
    </row>
    <row r="133" spans="1:7" ht="17.25" x14ac:dyDescent="0.35">
      <c r="A133" s="43" t="s">
        <v>32</v>
      </c>
      <c r="B133" s="39"/>
      <c r="C133" s="39"/>
      <c r="D133" s="39"/>
      <c r="E133" s="39"/>
      <c r="F133" s="39"/>
      <c r="G133" s="56">
        <f>ROUND(+F131/F132,2)</f>
        <v>1.96</v>
      </c>
    </row>
    <row r="134" spans="1:7" ht="15" x14ac:dyDescent="0.2">
      <c r="A134" s="43"/>
      <c r="B134" s="39"/>
      <c r="C134" s="39"/>
      <c r="D134" s="39"/>
      <c r="E134" s="39"/>
      <c r="F134" s="39"/>
      <c r="G134" s="53"/>
    </row>
    <row r="135" spans="1:7" ht="15" x14ac:dyDescent="0.2">
      <c r="A135" s="43"/>
      <c r="B135" s="39"/>
      <c r="C135" s="39"/>
      <c r="D135" s="39"/>
      <c r="E135" s="39"/>
      <c r="F135" s="39"/>
      <c r="G135" s="53"/>
    </row>
    <row r="136" spans="1:7" ht="16.5" thickBot="1" x14ac:dyDescent="0.3">
      <c r="A136" s="36" t="s">
        <v>33</v>
      </c>
      <c r="B136" s="37"/>
      <c r="C136" s="39"/>
      <c r="D136" s="39"/>
      <c r="E136" s="39"/>
      <c r="F136" s="39"/>
      <c r="G136" s="59">
        <f>SUM(G127:G133)</f>
        <v>2.38</v>
      </c>
    </row>
    <row r="137" spans="1:7" ht="14.25" thickTop="1" thickBot="1" x14ac:dyDescent="0.25">
      <c r="A137" s="19"/>
      <c r="B137" s="20"/>
      <c r="C137" s="20"/>
      <c r="D137" s="20"/>
      <c r="E137" s="20"/>
      <c r="F137" s="20"/>
      <c r="G137" s="21"/>
    </row>
    <row r="138" spans="1:7" ht="15" x14ac:dyDescent="0.2">
      <c r="A138" s="140" t="s">
        <v>34</v>
      </c>
      <c r="B138" s="141"/>
      <c r="C138" s="141"/>
      <c r="D138" s="141"/>
      <c r="E138" s="141"/>
      <c r="F138" s="141"/>
      <c r="G138" s="142"/>
    </row>
    <row r="139" spans="1:7" ht="15" x14ac:dyDescent="0.2">
      <c r="A139" s="50"/>
      <c r="B139" s="51"/>
      <c r="C139" s="51"/>
      <c r="D139" s="51"/>
      <c r="E139" s="51"/>
      <c r="F139" s="51"/>
      <c r="G139" s="65"/>
    </row>
    <row r="140" spans="1:7" ht="15.75" x14ac:dyDescent="0.25">
      <c r="A140" s="50"/>
      <c r="B140" s="51"/>
      <c r="C140" s="44"/>
      <c r="D140" s="44"/>
      <c r="E140" s="44" t="s">
        <v>18</v>
      </c>
      <c r="F140" s="44" t="s">
        <v>3</v>
      </c>
      <c r="G140" s="65"/>
    </row>
    <row r="141" spans="1:7" ht="15.75" x14ac:dyDescent="0.25">
      <c r="A141" s="50"/>
      <c r="B141" s="51"/>
      <c r="C141" s="66" t="s">
        <v>25</v>
      </c>
      <c r="D141" s="66"/>
      <c r="E141" s="66" t="s">
        <v>27</v>
      </c>
      <c r="F141" s="66" t="s">
        <v>6</v>
      </c>
      <c r="G141" s="65"/>
    </row>
    <row r="142" spans="1:7" ht="15.75" x14ac:dyDescent="0.25">
      <c r="A142" s="46" t="s">
        <v>66</v>
      </c>
      <c r="B142" s="37"/>
      <c r="C142" s="67"/>
      <c r="D142" s="67"/>
      <c r="E142" s="67"/>
      <c r="F142" s="67"/>
      <c r="G142" s="65"/>
    </row>
    <row r="143" spans="1:7" ht="15.75" x14ac:dyDescent="0.25">
      <c r="A143" s="43" t="s">
        <v>64</v>
      </c>
      <c r="B143" s="51"/>
      <c r="C143" s="68">
        <v>15544.573148514854</v>
      </c>
      <c r="D143" s="68"/>
      <c r="E143" s="69">
        <f>+E198</f>
        <v>0.23</v>
      </c>
      <c r="F143" s="68">
        <f>E143*C143</f>
        <v>3575.2518241584166</v>
      </c>
      <c r="G143" s="65"/>
    </row>
    <row r="144" spans="1:7" ht="17.25" x14ac:dyDescent="0.35">
      <c r="A144" s="50" t="s">
        <v>65</v>
      </c>
      <c r="B144" s="51"/>
      <c r="C144" s="52">
        <v>77722.865742574271</v>
      </c>
      <c r="D144" s="52"/>
      <c r="E144" s="69">
        <f>+G213</f>
        <v>0.19</v>
      </c>
      <c r="F144" s="52">
        <f>E144*C144</f>
        <v>14767.344491089112</v>
      </c>
      <c r="G144" s="65"/>
    </row>
    <row r="145" spans="1:8" ht="15" x14ac:dyDescent="0.2">
      <c r="A145" s="43" t="s">
        <v>3</v>
      </c>
      <c r="B145" s="51"/>
      <c r="C145" s="68">
        <f>SUM(C143:C144)</f>
        <v>93267.438891089128</v>
      </c>
      <c r="D145" s="68"/>
      <c r="E145" s="51"/>
      <c r="F145" s="68">
        <f>SUM(F143:F144)</f>
        <v>18342.596315247531</v>
      </c>
      <c r="G145" s="65"/>
    </row>
    <row r="146" spans="1:8" ht="15" x14ac:dyDescent="0.2">
      <c r="A146" s="43"/>
      <c r="B146" s="51"/>
      <c r="C146" s="51"/>
      <c r="D146" s="51"/>
      <c r="E146" s="51"/>
      <c r="F146" s="51"/>
      <c r="G146" s="65"/>
    </row>
    <row r="147" spans="1:8" ht="15.75" x14ac:dyDescent="0.25">
      <c r="A147" s="36" t="s">
        <v>28</v>
      </c>
      <c r="B147" s="51"/>
      <c r="C147" s="51"/>
      <c r="D147" s="51"/>
      <c r="E147" s="51"/>
      <c r="F147" s="70">
        <v>21605.51866847141</v>
      </c>
      <c r="G147" s="65"/>
    </row>
    <row r="148" spans="1:8" ht="15" x14ac:dyDescent="0.2">
      <c r="A148" s="43"/>
      <c r="B148" s="51"/>
      <c r="C148" s="51"/>
      <c r="D148" s="51"/>
      <c r="E148" s="51"/>
      <c r="F148" s="51"/>
      <c r="G148" s="65"/>
    </row>
    <row r="149" spans="1:8" ht="15" x14ac:dyDescent="0.2">
      <c r="A149" s="43" t="s">
        <v>29</v>
      </c>
      <c r="B149" s="51"/>
      <c r="C149" s="51"/>
      <c r="D149" s="51"/>
      <c r="E149" s="51"/>
      <c r="F149" s="68">
        <f>F147-F145</f>
        <v>3262.9223532238793</v>
      </c>
      <c r="G149" s="65"/>
    </row>
    <row r="150" spans="1:8" ht="15" x14ac:dyDescent="0.2">
      <c r="A150" s="43"/>
      <c r="B150" s="51"/>
      <c r="C150" s="51"/>
      <c r="D150" s="51"/>
      <c r="E150" s="51"/>
      <c r="F150" s="51"/>
      <c r="G150" s="65"/>
    </row>
    <row r="151" spans="1:8" ht="15" x14ac:dyDescent="0.2">
      <c r="A151" s="43" t="s">
        <v>30</v>
      </c>
      <c r="B151" s="51"/>
      <c r="C151" s="51"/>
      <c r="D151" s="51"/>
      <c r="E151" s="51"/>
      <c r="F151" s="68">
        <f>+C145</f>
        <v>93267.438891089128</v>
      </c>
      <c r="G151" s="65"/>
    </row>
    <row r="152" spans="1:8" ht="15" x14ac:dyDescent="0.2">
      <c r="A152" s="43"/>
      <c r="B152" s="51"/>
      <c r="C152" s="51"/>
      <c r="D152" s="51"/>
      <c r="E152" s="51"/>
      <c r="F152" s="51"/>
      <c r="G152" s="65"/>
    </row>
    <row r="153" spans="1:8" ht="15" x14ac:dyDescent="0.2">
      <c r="A153" s="43" t="s">
        <v>31</v>
      </c>
      <c r="B153" s="51"/>
      <c r="C153" s="51"/>
      <c r="D153" s="51"/>
      <c r="E153" s="51"/>
      <c r="F153" s="51"/>
      <c r="G153" s="71">
        <f>ROUND(F149/F151,2)</f>
        <v>0.03</v>
      </c>
    </row>
    <row r="154" spans="1:8" ht="15" x14ac:dyDescent="0.2">
      <c r="A154" s="43"/>
      <c r="B154" s="51"/>
      <c r="C154" s="51"/>
      <c r="D154" s="51"/>
      <c r="E154" s="51"/>
      <c r="F154" s="51"/>
      <c r="G154" s="71"/>
    </row>
    <row r="155" spans="1:8" ht="15" x14ac:dyDescent="0.2">
      <c r="A155" s="43"/>
      <c r="B155" s="51"/>
      <c r="C155" s="51"/>
      <c r="D155" s="51"/>
      <c r="E155" s="51"/>
      <c r="F155" s="68"/>
      <c r="G155" s="65"/>
    </row>
    <row r="156" spans="1:8" ht="15.75" x14ac:dyDescent="0.25">
      <c r="A156" s="43"/>
      <c r="B156" s="37"/>
      <c r="C156" s="51"/>
      <c r="D156" s="51"/>
      <c r="E156" s="51"/>
      <c r="F156" s="68"/>
      <c r="G156" s="65"/>
    </row>
    <row r="157" spans="1:8" ht="15.75" x14ac:dyDescent="0.25">
      <c r="A157" s="46" t="s">
        <v>67</v>
      </c>
      <c r="B157" s="51"/>
      <c r="C157" s="51"/>
      <c r="D157" s="51"/>
      <c r="E157" s="51"/>
      <c r="F157" s="55">
        <f>+F147</f>
        <v>21605.51866847141</v>
      </c>
      <c r="G157" s="65"/>
    </row>
    <row r="158" spans="1:8" ht="15" x14ac:dyDescent="0.2">
      <c r="A158" s="43" t="s">
        <v>30</v>
      </c>
      <c r="B158" s="51"/>
      <c r="C158" s="51"/>
      <c r="D158" s="51"/>
      <c r="E158" s="51"/>
      <c r="F158" s="68">
        <f>+C145</f>
        <v>93267.438891089128</v>
      </c>
      <c r="G158" s="65"/>
      <c r="H158" s="135"/>
    </row>
    <row r="159" spans="1:8" ht="17.25" x14ac:dyDescent="0.35">
      <c r="A159" s="43" t="s">
        <v>32</v>
      </c>
      <c r="B159" s="51"/>
      <c r="C159" s="51"/>
      <c r="D159" s="51"/>
      <c r="E159" s="51"/>
      <c r="F159" s="51"/>
      <c r="G159" s="58">
        <f>ROUND(+F157/F158,2)</f>
        <v>0.23</v>
      </c>
    </row>
    <row r="160" spans="1:8" ht="17.25" x14ac:dyDescent="0.35">
      <c r="A160" s="43"/>
      <c r="B160" s="51"/>
      <c r="C160" s="51"/>
      <c r="D160" s="51"/>
      <c r="E160" s="51"/>
      <c r="F160" s="51"/>
      <c r="G160" s="58"/>
    </row>
    <row r="161" spans="1:7" ht="16.5" thickBot="1" x14ac:dyDescent="0.3">
      <c r="A161" s="36" t="s">
        <v>35</v>
      </c>
      <c r="B161" s="37"/>
      <c r="C161" s="51"/>
      <c r="D161" s="51"/>
      <c r="E161" s="51"/>
      <c r="F161" s="51"/>
      <c r="G161" s="72">
        <f>+G159+G153+G154</f>
        <v>0.26</v>
      </c>
    </row>
    <row r="162" spans="1:7" ht="16.5" thickTop="1" thickBot="1" x14ac:dyDescent="0.25">
      <c r="A162" s="73"/>
      <c r="B162" s="74"/>
      <c r="C162" s="74"/>
      <c r="D162" s="74"/>
      <c r="E162" s="74"/>
      <c r="F162" s="74"/>
      <c r="G162" s="75"/>
    </row>
    <row r="163" spans="1:7" ht="23.25" x14ac:dyDescent="0.35">
      <c r="A163" s="32" t="s">
        <v>63</v>
      </c>
      <c r="B163" s="33"/>
      <c r="C163" s="34"/>
      <c r="D163" s="34"/>
      <c r="E163" s="34"/>
      <c r="F163" s="34"/>
      <c r="G163" s="35"/>
    </row>
    <row r="164" spans="1:7" ht="15.75" x14ac:dyDescent="0.25">
      <c r="A164" s="36" t="s">
        <v>62</v>
      </c>
      <c r="B164" s="37"/>
      <c r="C164" s="38"/>
      <c r="D164" s="38"/>
      <c r="E164" s="39"/>
      <c r="F164" s="39"/>
      <c r="G164" s="40"/>
    </row>
    <row r="165" spans="1:7" ht="15.75" x14ac:dyDescent="0.25">
      <c r="A165" s="41"/>
      <c r="B165" s="42"/>
      <c r="C165" s="39"/>
      <c r="D165" s="39"/>
      <c r="E165" s="39"/>
      <c r="F165" s="39"/>
      <c r="G165" s="40"/>
    </row>
    <row r="166" spans="1:7" ht="15" x14ac:dyDescent="0.2">
      <c r="A166" s="140" t="s">
        <v>26</v>
      </c>
      <c r="B166" s="141"/>
      <c r="C166" s="141"/>
      <c r="D166" s="141"/>
      <c r="E166" s="141"/>
      <c r="F166" s="141"/>
      <c r="G166" s="142"/>
    </row>
    <row r="167" spans="1:7" ht="15" x14ac:dyDescent="0.2">
      <c r="A167" s="43"/>
      <c r="B167" s="39"/>
      <c r="C167" s="39"/>
      <c r="D167" s="39"/>
      <c r="E167" s="39"/>
      <c r="F167" s="39"/>
      <c r="G167" s="40"/>
    </row>
    <row r="168" spans="1:7" ht="15.75" x14ac:dyDescent="0.25">
      <c r="A168" s="43"/>
      <c r="B168" s="39"/>
      <c r="C168" s="44"/>
      <c r="D168" s="44"/>
      <c r="E168" s="44" t="s">
        <v>18</v>
      </c>
      <c r="F168" s="44" t="s">
        <v>3</v>
      </c>
      <c r="G168" s="40"/>
    </row>
    <row r="169" spans="1:7" ht="15.75" x14ac:dyDescent="0.25">
      <c r="A169" s="43"/>
      <c r="B169" s="39"/>
      <c r="C169" s="45" t="s">
        <v>5</v>
      </c>
      <c r="D169" s="45"/>
      <c r="E169" s="45" t="s">
        <v>27</v>
      </c>
      <c r="F169" s="45" t="s">
        <v>6</v>
      </c>
      <c r="G169" s="40"/>
    </row>
    <row r="170" spans="1:7" ht="15.75" x14ac:dyDescent="0.25">
      <c r="A170" s="46" t="s">
        <v>66</v>
      </c>
      <c r="B170" s="37"/>
      <c r="C170" s="47"/>
      <c r="D170" s="47"/>
      <c r="E170" s="47"/>
      <c r="F170" s="47"/>
      <c r="G170" s="40"/>
    </row>
    <row r="171" spans="1:7" ht="15.75" x14ac:dyDescent="0.25">
      <c r="A171" s="43" t="s">
        <v>64</v>
      </c>
      <c r="B171" s="39"/>
      <c r="C171" s="48">
        <v>87362</v>
      </c>
      <c r="D171" s="48"/>
      <c r="E171" s="49">
        <v>0.73</v>
      </c>
      <c r="F171" s="48">
        <f>C171*E171</f>
        <v>63774.26</v>
      </c>
      <c r="G171" s="40"/>
    </row>
    <row r="172" spans="1:7" ht="17.25" x14ac:dyDescent="0.35">
      <c r="A172" s="50" t="s">
        <v>65</v>
      </c>
      <c r="B172" s="51"/>
      <c r="C172" s="52">
        <v>443080</v>
      </c>
      <c r="D172" s="52"/>
      <c r="E172" s="49">
        <v>0.91</v>
      </c>
      <c r="F172" s="52">
        <f>C172*E172</f>
        <v>403202.8</v>
      </c>
      <c r="G172" s="40"/>
    </row>
    <row r="173" spans="1:7" ht="15" x14ac:dyDescent="0.2">
      <c r="A173" s="43" t="s">
        <v>3</v>
      </c>
      <c r="B173" s="39"/>
      <c r="C173" s="48">
        <f>SUM(C171:C172)</f>
        <v>530442</v>
      </c>
      <c r="D173" s="48"/>
      <c r="E173" s="39"/>
      <c r="F173" s="48">
        <f>SUM(F171:F172)</f>
        <v>466977.06</v>
      </c>
      <c r="G173" s="40"/>
    </row>
    <row r="174" spans="1:7" ht="15" x14ac:dyDescent="0.2">
      <c r="A174" s="43"/>
      <c r="B174" s="39"/>
      <c r="C174" s="39"/>
      <c r="D174" s="39"/>
      <c r="E174" s="39"/>
      <c r="F174" s="39"/>
      <c r="G174" s="40"/>
    </row>
    <row r="175" spans="1:7" ht="15.75" x14ac:dyDescent="0.25">
      <c r="A175" s="36" t="s">
        <v>28</v>
      </c>
      <c r="B175" s="39"/>
      <c r="C175" s="39"/>
      <c r="D175" s="39"/>
      <c r="E175" s="39"/>
      <c r="F175" s="48">
        <v>894186.62775827409</v>
      </c>
      <c r="G175" s="40"/>
    </row>
    <row r="176" spans="1:7" ht="15" x14ac:dyDescent="0.2">
      <c r="A176" s="43"/>
      <c r="B176" s="39"/>
      <c r="C176" s="39"/>
      <c r="D176" s="39"/>
      <c r="E176" s="39"/>
      <c r="F176" s="39"/>
      <c r="G176" s="40"/>
    </row>
    <row r="177" spans="1:7" ht="15" x14ac:dyDescent="0.2">
      <c r="A177" s="43" t="s">
        <v>29</v>
      </c>
      <c r="B177" s="39"/>
      <c r="C177" s="39"/>
      <c r="D177" s="39"/>
      <c r="E177" s="39"/>
      <c r="F177" s="61">
        <f>F175-F173</f>
        <v>427209.56775827409</v>
      </c>
      <c r="G177" s="40"/>
    </row>
    <row r="178" spans="1:7" ht="15" x14ac:dyDescent="0.2">
      <c r="A178" s="43"/>
      <c r="B178" s="39"/>
      <c r="C178" s="39"/>
      <c r="D178" s="39"/>
      <c r="E178" s="39"/>
      <c r="F178" s="39"/>
      <c r="G178" s="40"/>
    </row>
    <row r="179" spans="1:7" ht="15" x14ac:dyDescent="0.2">
      <c r="A179" s="50" t="s">
        <v>30</v>
      </c>
      <c r="B179" s="39"/>
      <c r="C179" s="39"/>
      <c r="D179" s="39"/>
      <c r="E179" s="39"/>
      <c r="F179" s="48">
        <f>+C173</f>
        <v>530442</v>
      </c>
      <c r="G179" s="40"/>
    </row>
    <row r="180" spans="1:7" ht="15" x14ac:dyDescent="0.2">
      <c r="A180" s="43"/>
      <c r="B180" s="39"/>
      <c r="C180" s="39"/>
      <c r="D180" s="39"/>
      <c r="E180" s="39"/>
      <c r="F180" s="39"/>
      <c r="G180" s="40"/>
    </row>
    <row r="181" spans="1:7" ht="15" x14ac:dyDescent="0.2">
      <c r="A181" s="43" t="s">
        <v>31</v>
      </c>
      <c r="B181" s="39"/>
      <c r="C181" s="39"/>
      <c r="D181" s="39"/>
      <c r="E181" s="39"/>
      <c r="F181" s="39"/>
      <c r="G181" s="53">
        <f>ROUND(F177/F179,2)</f>
        <v>0.81</v>
      </c>
    </row>
    <row r="182" spans="1:7" ht="15" x14ac:dyDescent="0.2">
      <c r="A182" s="43"/>
      <c r="B182" s="39"/>
      <c r="C182" s="39"/>
      <c r="D182" s="39"/>
      <c r="E182" s="39"/>
      <c r="F182" s="39"/>
      <c r="G182" s="53"/>
    </row>
    <row r="183" spans="1:7" ht="15" x14ac:dyDescent="0.2">
      <c r="A183" s="43"/>
      <c r="B183" s="39"/>
      <c r="C183" s="39"/>
      <c r="D183" s="39"/>
      <c r="E183" s="39"/>
      <c r="F183" s="39"/>
      <c r="G183" s="53"/>
    </row>
    <row r="184" spans="1:7" ht="15" x14ac:dyDescent="0.2">
      <c r="A184" s="43"/>
      <c r="B184" s="39"/>
      <c r="C184" s="39"/>
      <c r="D184" s="39"/>
      <c r="E184" s="39"/>
      <c r="F184" s="39"/>
      <c r="G184" s="53"/>
    </row>
    <row r="185" spans="1:7" ht="15.75" x14ac:dyDescent="0.25">
      <c r="A185" s="46" t="s">
        <v>66</v>
      </c>
      <c r="B185" s="37"/>
      <c r="C185" s="39"/>
      <c r="D185" s="39"/>
      <c r="E185" s="39"/>
      <c r="F185" s="55">
        <f>+F175</f>
        <v>894186.62775827409</v>
      </c>
      <c r="G185" s="53"/>
    </row>
    <row r="186" spans="1:7" ht="15" x14ac:dyDescent="0.2">
      <c r="A186" s="43" t="s">
        <v>30</v>
      </c>
      <c r="B186" s="39"/>
      <c r="C186" s="39"/>
      <c r="D186" s="39"/>
      <c r="E186" s="39"/>
      <c r="F186" s="48">
        <v>537336</v>
      </c>
      <c r="G186" s="53"/>
    </row>
    <row r="187" spans="1:7" ht="17.25" x14ac:dyDescent="0.35">
      <c r="A187" s="43" t="s">
        <v>32</v>
      </c>
      <c r="B187" s="39"/>
      <c r="C187" s="39"/>
      <c r="D187" s="39"/>
      <c r="E187" s="39"/>
      <c r="F187" s="39"/>
      <c r="G187" s="57">
        <f>+F185/F186</f>
        <v>1.6641107756753206</v>
      </c>
    </row>
    <row r="188" spans="1:7" ht="17.25" x14ac:dyDescent="0.35">
      <c r="A188" s="43"/>
      <c r="B188" s="39"/>
      <c r="C188" s="39"/>
      <c r="D188" s="39"/>
      <c r="E188" s="39"/>
      <c r="F188" s="39"/>
      <c r="G188" s="58"/>
    </row>
    <row r="189" spans="1:7" ht="15" x14ac:dyDescent="0.2">
      <c r="A189" s="43"/>
      <c r="B189" s="39"/>
      <c r="C189" s="39"/>
      <c r="D189" s="39"/>
      <c r="E189" s="39"/>
      <c r="F189" s="39"/>
      <c r="G189" s="53"/>
    </row>
    <row r="190" spans="1:7" ht="16.5" thickBot="1" x14ac:dyDescent="0.3">
      <c r="A190" s="36" t="s">
        <v>33</v>
      </c>
      <c r="B190" s="37"/>
      <c r="C190" s="39"/>
      <c r="D190" s="39"/>
      <c r="E190" s="39"/>
      <c r="F190" s="39"/>
      <c r="G190" s="60">
        <f>+G187+G181+G182</f>
        <v>2.4741107756753209</v>
      </c>
    </row>
    <row r="191" spans="1:7" ht="14.25" thickTop="1" thickBot="1" x14ac:dyDescent="0.25">
      <c r="A191" s="19"/>
      <c r="B191" s="20"/>
      <c r="C191" s="20"/>
      <c r="D191" s="20"/>
      <c r="E191" s="20"/>
      <c r="F191" s="20"/>
      <c r="G191" s="21"/>
    </row>
    <row r="192" spans="1:7" ht="15" x14ac:dyDescent="0.2">
      <c r="A192" s="140" t="s">
        <v>34</v>
      </c>
      <c r="B192" s="141"/>
      <c r="C192" s="141"/>
      <c r="D192" s="141"/>
      <c r="E192" s="141"/>
      <c r="F192" s="141"/>
      <c r="G192" s="142"/>
    </row>
    <row r="193" spans="1:7" ht="15" x14ac:dyDescent="0.2">
      <c r="A193" s="50"/>
      <c r="B193" s="51"/>
      <c r="C193" s="51"/>
      <c r="D193" s="51"/>
      <c r="E193" s="51"/>
      <c r="F193" s="51"/>
      <c r="G193" s="65"/>
    </row>
    <row r="194" spans="1:7" ht="15.75" x14ac:dyDescent="0.25">
      <c r="A194" s="50"/>
      <c r="B194" s="51"/>
      <c r="C194" s="44"/>
      <c r="D194" s="44"/>
      <c r="E194" s="44" t="s">
        <v>18</v>
      </c>
      <c r="F194" s="44" t="s">
        <v>3</v>
      </c>
      <c r="G194" s="65"/>
    </row>
    <row r="195" spans="1:7" ht="15.75" x14ac:dyDescent="0.25">
      <c r="A195" s="50"/>
      <c r="B195" s="51"/>
      <c r="C195" s="66" t="s">
        <v>5</v>
      </c>
      <c r="D195" s="66"/>
      <c r="E195" s="66" t="s">
        <v>27</v>
      </c>
      <c r="F195" s="66" t="s">
        <v>6</v>
      </c>
      <c r="G195" s="65"/>
    </row>
    <row r="196" spans="1:7" ht="15.75" x14ac:dyDescent="0.25">
      <c r="A196" s="46" t="s">
        <v>66</v>
      </c>
      <c r="B196" s="37"/>
      <c r="C196" s="67"/>
      <c r="D196" s="67"/>
      <c r="E196" s="67"/>
      <c r="F196" s="67"/>
      <c r="G196" s="65"/>
    </row>
    <row r="197" spans="1:7" ht="15.75" x14ac:dyDescent="0.25">
      <c r="A197" s="43" t="s">
        <v>64</v>
      </c>
      <c r="B197" s="51"/>
      <c r="C197" s="68">
        <v>13606</v>
      </c>
      <c r="D197" s="68"/>
      <c r="E197" s="69">
        <v>0.21</v>
      </c>
      <c r="F197" s="68">
        <f>C197*E197</f>
        <v>2857.2599999999998</v>
      </c>
      <c r="G197" s="65"/>
    </row>
    <row r="198" spans="1:7" ht="17.25" x14ac:dyDescent="0.35">
      <c r="A198" s="50" t="s">
        <v>65</v>
      </c>
      <c r="B198" s="51"/>
      <c r="C198" s="52">
        <v>72828</v>
      </c>
      <c r="D198" s="52"/>
      <c r="E198" s="69">
        <v>0.23</v>
      </c>
      <c r="F198" s="52">
        <f>C198*E198</f>
        <v>16750.440000000002</v>
      </c>
      <c r="G198" s="65"/>
    </row>
    <row r="199" spans="1:7" ht="15" x14ac:dyDescent="0.2">
      <c r="A199" s="43" t="s">
        <v>3</v>
      </c>
      <c r="B199" s="51"/>
      <c r="C199" s="68">
        <f>+C198+C197</f>
        <v>86434</v>
      </c>
      <c r="D199" s="68"/>
      <c r="E199" s="51"/>
      <c r="F199" s="68">
        <f>+F198+F197</f>
        <v>19607.7</v>
      </c>
      <c r="G199" s="65"/>
    </row>
    <row r="200" spans="1:7" ht="15" x14ac:dyDescent="0.2">
      <c r="A200" s="43"/>
      <c r="B200" s="51"/>
      <c r="C200" s="51"/>
      <c r="D200" s="51"/>
      <c r="E200" s="51"/>
      <c r="F200" s="51"/>
      <c r="G200" s="65"/>
    </row>
    <row r="201" spans="1:7" ht="15.75" x14ac:dyDescent="0.25">
      <c r="A201" s="36" t="s">
        <v>28</v>
      </c>
      <c r="B201" s="51"/>
      <c r="C201" s="51"/>
      <c r="D201" s="51"/>
      <c r="E201" s="51"/>
      <c r="F201" s="70">
        <v>17896.735447015508</v>
      </c>
      <c r="G201" s="65"/>
    </row>
    <row r="202" spans="1:7" ht="15" x14ac:dyDescent="0.2">
      <c r="A202" s="43"/>
      <c r="B202" s="51"/>
      <c r="C202" s="51"/>
      <c r="D202" s="51"/>
      <c r="E202" s="51"/>
      <c r="F202" s="51"/>
      <c r="G202" s="65"/>
    </row>
    <row r="203" spans="1:7" ht="15" x14ac:dyDescent="0.2">
      <c r="A203" s="43" t="s">
        <v>29</v>
      </c>
      <c r="B203" s="51"/>
      <c r="C203" s="51"/>
      <c r="D203" s="51"/>
      <c r="E203" s="51"/>
      <c r="F203" s="68">
        <v>-1710.9364485785482</v>
      </c>
      <c r="G203" s="65"/>
    </row>
    <row r="204" spans="1:7" ht="15" x14ac:dyDescent="0.2">
      <c r="A204" s="43"/>
      <c r="B204" s="51"/>
      <c r="C204" s="51"/>
      <c r="D204" s="51"/>
      <c r="E204" s="51"/>
      <c r="F204" s="51"/>
      <c r="G204" s="65"/>
    </row>
    <row r="205" spans="1:7" ht="15" x14ac:dyDescent="0.2">
      <c r="A205" s="50" t="s">
        <v>30</v>
      </c>
      <c r="B205" s="51"/>
      <c r="C205" s="51"/>
      <c r="D205" s="51"/>
      <c r="E205" s="51"/>
      <c r="F205" s="68">
        <f>+C199</f>
        <v>86434</v>
      </c>
      <c r="G205" s="65"/>
    </row>
    <row r="206" spans="1:7" ht="15" x14ac:dyDescent="0.2">
      <c r="A206" s="43"/>
      <c r="B206" s="51"/>
      <c r="C206" s="51"/>
      <c r="D206" s="51"/>
      <c r="E206" s="51"/>
      <c r="F206" s="51"/>
      <c r="G206" s="65"/>
    </row>
    <row r="207" spans="1:7" ht="15" x14ac:dyDescent="0.2">
      <c r="A207" s="43" t="s">
        <v>31</v>
      </c>
      <c r="B207" s="51"/>
      <c r="C207" s="51"/>
      <c r="D207" s="51"/>
      <c r="E207" s="51"/>
      <c r="F207" s="51"/>
      <c r="G207" s="71">
        <f>ROUND(F203/F205,2)</f>
        <v>-0.02</v>
      </c>
    </row>
    <row r="208" spans="1:7" ht="15" x14ac:dyDescent="0.2">
      <c r="A208" s="43"/>
      <c r="B208" s="51"/>
      <c r="C208" s="51"/>
      <c r="D208" s="51"/>
      <c r="E208" s="51"/>
      <c r="F208" s="51"/>
      <c r="G208" s="71"/>
    </row>
    <row r="209" spans="1:7" ht="15" x14ac:dyDescent="0.2">
      <c r="A209" s="43"/>
      <c r="B209" s="51"/>
      <c r="C209" s="51"/>
      <c r="D209" s="51"/>
      <c r="E209" s="51"/>
      <c r="F209" s="68"/>
      <c r="G209" s="65"/>
    </row>
    <row r="210" spans="1:7" ht="15.75" x14ac:dyDescent="0.25">
      <c r="A210" s="43"/>
      <c r="B210" s="37"/>
      <c r="C210" s="51"/>
      <c r="D210" s="51"/>
      <c r="E210" s="51"/>
      <c r="F210" s="68"/>
      <c r="G210" s="65"/>
    </row>
    <row r="211" spans="1:7" ht="15.75" x14ac:dyDescent="0.25">
      <c r="A211" s="46" t="s">
        <v>66</v>
      </c>
      <c r="B211" s="51"/>
      <c r="C211" s="51"/>
      <c r="D211" s="51"/>
      <c r="E211" s="51"/>
      <c r="F211" s="55">
        <f>+F201</f>
        <v>17896.735447015508</v>
      </c>
      <c r="G211" s="65"/>
    </row>
    <row r="212" spans="1:7" ht="15" x14ac:dyDescent="0.2">
      <c r="A212" s="43" t="s">
        <v>30</v>
      </c>
      <c r="B212" s="51"/>
      <c r="C212" s="51"/>
      <c r="D212" s="51"/>
      <c r="E212" s="51"/>
      <c r="F212" s="68">
        <v>91907</v>
      </c>
      <c r="G212" s="65"/>
    </row>
    <row r="213" spans="1:7" ht="17.25" x14ac:dyDescent="0.35">
      <c r="A213" s="43" t="s">
        <v>32</v>
      </c>
      <c r="B213" s="51"/>
      <c r="C213" s="51"/>
      <c r="D213" s="51"/>
      <c r="E213" s="51"/>
      <c r="F213" s="51"/>
      <c r="G213" s="58">
        <f>ROUND(+F211/F212,2)</f>
        <v>0.19</v>
      </c>
    </row>
    <row r="214" spans="1:7" ht="17.25" x14ac:dyDescent="0.35">
      <c r="A214" s="43"/>
      <c r="B214" s="51"/>
      <c r="C214" s="51"/>
      <c r="D214" s="51"/>
      <c r="E214" s="51"/>
      <c r="F214" s="51"/>
      <c r="G214" s="58"/>
    </row>
    <row r="215" spans="1:7" ht="16.5" thickBot="1" x14ac:dyDescent="0.3">
      <c r="A215" s="36" t="s">
        <v>35</v>
      </c>
      <c r="B215" s="37"/>
      <c r="C215" s="51"/>
      <c r="D215" s="51"/>
      <c r="E215" s="51"/>
      <c r="F215" s="51"/>
      <c r="G215" s="72">
        <f>+G213+G207</f>
        <v>0.17</v>
      </c>
    </row>
    <row r="216" spans="1:7" ht="16.5" thickTop="1" thickBot="1" x14ac:dyDescent="0.25">
      <c r="A216" s="73"/>
      <c r="B216" s="74"/>
      <c r="C216" s="74"/>
      <c r="D216" s="74"/>
      <c r="E216" s="74"/>
      <c r="F216" s="74"/>
      <c r="G216" s="75"/>
    </row>
  </sheetData>
  <mergeCells count="8">
    <mergeCell ref="A192:G192"/>
    <mergeCell ref="A58:G58"/>
    <mergeCell ref="A84:G84"/>
    <mergeCell ref="A4:G4"/>
    <mergeCell ref="A30:G30"/>
    <mergeCell ref="A112:G112"/>
    <mergeCell ref="A166:G166"/>
    <mergeCell ref="A138:G138"/>
  </mergeCells>
  <pageMargins left="0.45" right="0.45" top="0.5" bottom="0.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5"/>
  <sheetViews>
    <sheetView topLeftCell="A7" zoomScaleNormal="100" workbookViewId="0">
      <selection activeCell="E14" sqref="E14"/>
    </sheetView>
  </sheetViews>
  <sheetFormatPr defaultRowHeight="12.75" x14ac:dyDescent="0.2"/>
  <cols>
    <col min="1" max="1" width="26.140625" customWidth="1"/>
    <col min="2" max="2" width="6.28515625" bestFit="1" customWidth="1"/>
    <col min="3" max="3" width="11.28515625" style="2" bestFit="1" customWidth="1"/>
    <col min="4" max="4" width="9.7109375" bestFit="1" customWidth="1"/>
    <col min="5" max="6" width="10.28515625" bestFit="1" customWidth="1"/>
    <col min="7" max="7" width="10.7109375" bestFit="1" customWidth="1"/>
    <col min="8" max="8" width="10.28515625" bestFit="1" customWidth="1"/>
    <col min="9" max="9" width="9.28515625" bestFit="1" customWidth="1"/>
    <col min="10" max="10" width="9.7109375" bestFit="1" customWidth="1"/>
    <col min="11" max="11" width="8.7109375" bestFit="1" customWidth="1"/>
    <col min="12" max="12" width="9.28515625" bestFit="1" customWidth="1"/>
    <col min="13" max="14" width="12.28515625" bestFit="1" customWidth="1"/>
    <col min="15" max="16" width="10.28515625" bestFit="1" customWidth="1"/>
    <col min="19" max="19" width="10.28515625" bestFit="1" customWidth="1"/>
  </cols>
  <sheetData>
    <row r="1" spans="1:8" s="4" customFormat="1" ht="23.25" x14ac:dyDescent="0.35">
      <c r="A1" s="22" t="s">
        <v>36</v>
      </c>
      <c r="C1" s="27"/>
    </row>
    <row r="2" spans="1:8" s="4" customFormat="1" x14ac:dyDescent="0.2">
      <c r="A2" s="1" t="s">
        <v>70</v>
      </c>
      <c r="C2" s="27"/>
    </row>
    <row r="3" spans="1:8" s="4" customFormat="1" x14ac:dyDescent="0.2">
      <c r="C3" s="27"/>
    </row>
    <row r="4" spans="1:8" s="4" customFormat="1" x14ac:dyDescent="0.2">
      <c r="C4" s="27"/>
    </row>
    <row r="5" spans="1:8" s="4" customFormat="1" x14ac:dyDescent="0.2">
      <c r="C5" s="27" t="s">
        <v>69</v>
      </c>
    </row>
    <row r="6" spans="1:8" s="4" customFormat="1" x14ac:dyDescent="0.2">
      <c r="C6" s="27" t="s">
        <v>40</v>
      </c>
      <c r="G6" s="4" t="s">
        <v>19</v>
      </c>
      <c r="H6" s="4" t="s">
        <v>21</v>
      </c>
    </row>
    <row r="7" spans="1:8" s="4" customFormat="1" x14ac:dyDescent="0.2">
      <c r="C7" s="27" t="s">
        <v>39</v>
      </c>
      <c r="D7" s="4" t="s">
        <v>19</v>
      </c>
      <c r="E7" s="4" t="s">
        <v>53</v>
      </c>
      <c r="F7" s="4" t="s">
        <v>4</v>
      </c>
      <c r="G7" s="4" t="s">
        <v>20</v>
      </c>
      <c r="H7" s="27" t="s">
        <v>40</v>
      </c>
    </row>
    <row r="8" spans="1:8" s="5" customFormat="1" x14ac:dyDescent="0.2">
      <c r="A8" s="5" t="s">
        <v>68</v>
      </c>
      <c r="C8" s="16" t="s">
        <v>17</v>
      </c>
      <c r="D8" s="4" t="s">
        <v>52</v>
      </c>
      <c r="E8" s="5" t="s">
        <v>40</v>
      </c>
      <c r="F8" s="5" t="s">
        <v>20</v>
      </c>
      <c r="G8" s="116" t="s">
        <v>17</v>
      </c>
      <c r="H8" s="5" t="s">
        <v>17</v>
      </c>
    </row>
    <row r="9" spans="1:8" x14ac:dyDescent="0.2">
      <c r="A9" s="64" t="s">
        <v>90</v>
      </c>
      <c r="C9" s="2">
        <f>+Composition!B$16-D9</f>
        <v>1047.4349999999999</v>
      </c>
      <c r="D9" s="6">
        <f>-Composition!B$18</f>
        <v>-75.614999999999995</v>
      </c>
      <c r="E9" s="6">
        <f>+D9+C9</f>
        <v>971.81999999999994</v>
      </c>
      <c r="F9" s="128">
        <f>+'Res''l &amp; MF Customers'!C$20</f>
        <v>0.56306463893976499</v>
      </c>
      <c r="G9" s="6">
        <f>-F9*E9</f>
        <v>-547.19747741444235</v>
      </c>
      <c r="H9" s="6">
        <f t="shared" ref="H9:H20" si="0">+G9+E9</f>
        <v>424.62252258555759</v>
      </c>
    </row>
    <row r="10" spans="1:8" x14ac:dyDescent="0.2">
      <c r="A10" t="s">
        <v>7</v>
      </c>
      <c r="C10" s="2">
        <f>+Composition!D$16-D10</f>
        <v>1117.307241</v>
      </c>
      <c r="D10" s="6">
        <f>-Composition!D$18</f>
        <v>-77.607241000000002</v>
      </c>
      <c r="E10" s="6">
        <f t="shared" ref="E10:E20" si="1">+D10+C10</f>
        <v>1039.7</v>
      </c>
      <c r="F10" s="128">
        <f>+'Res''l &amp; MF Customers'!D$20</f>
        <v>0.56341182755928165</v>
      </c>
      <c r="G10" s="6">
        <f t="shared" ref="G10:G20" si="2">-F10*E10</f>
        <v>-585.77927711338521</v>
      </c>
      <c r="H10" s="6">
        <f t="shared" si="0"/>
        <v>453.92072288661484</v>
      </c>
    </row>
    <row r="11" spans="1:8" x14ac:dyDescent="0.2">
      <c r="A11" t="s">
        <v>8</v>
      </c>
      <c r="C11" s="2">
        <f>+Composition!F$16-D11</f>
        <v>1004.7656500000002</v>
      </c>
      <c r="D11" s="6">
        <f>-Composition!F$18</f>
        <v>-70.585650000000001</v>
      </c>
      <c r="E11" s="6">
        <f t="shared" si="1"/>
        <v>934.18000000000018</v>
      </c>
      <c r="F11" s="128">
        <f>+'Res''l &amp; MF Customers'!E$20</f>
        <v>0.55906650144568359</v>
      </c>
      <c r="G11" s="6">
        <f t="shared" si="2"/>
        <v>-522.26874432052875</v>
      </c>
      <c r="H11" s="6">
        <f t="shared" si="0"/>
        <v>411.91125567947142</v>
      </c>
    </row>
    <row r="12" spans="1:8" x14ac:dyDescent="0.2">
      <c r="A12" t="s">
        <v>9</v>
      </c>
      <c r="C12" s="2">
        <f>+Composition!H$16-D12</f>
        <v>1044.5398539999999</v>
      </c>
      <c r="D12" s="6">
        <f>-Composition!H$18</f>
        <v>-84.119853999999989</v>
      </c>
      <c r="E12" s="6">
        <f t="shared" si="1"/>
        <v>960.41999999999985</v>
      </c>
      <c r="F12" s="128">
        <f>+'Res''l &amp; MF Customers'!F$20</f>
        <v>0.55817850788264989</v>
      </c>
      <c r="G12" s="6">
        <f t="shared" si="2"/>
        <v>-536.08580254065453</v>
      </c>
      <c r="H12" s="6">
        <f t="shared" si="0"/>
        <v>424.33419745934532</v>
      </c>
    </row>
    <row r="13" spans="1:8" x14ac:dyDescent="0.2">
      <c r="A13" t="s">
        <v>10</v>
      </c>
      <c r="C13" s="2">
        <f>+Composition!J$16-D13</f>
        <v>1064.29476</v>
      </c>
      <c r="D13" s="6">
        <f>-Composition!J$18</f>
        <v>-73.444760000000002</v>
      </c>
      <c r="E13" s="6">
        <f t="shared" si="1"/>
        <v>990.85</v>
      </c>
      <c r="F13" s="128">
        <f>+'Res''l &amp; MF Customers'!G$20</f>
        <v>0.56029451193103308</v>
      </c>
      <c r="G13" s="6">
        <f t="shared" si="2"/>
        <v>-555.16781714686419</v>
      </c>
      <c r="H13" s="6">
        <f t="shared" si="0"/>
        <v>435.68218285313583</v>
      </c>
    </row>
    <row r="14" spans="1:8" x14ac:dyDescent="0.2">
      <c r="A14" t="s">
        <v>11</v>
      </c>
      <c r="C14" s="2">
        <f>+Composition!L$16-D14</f>
        <v>1080.0731679999999</v>
      </c>
      <c r="D14" s="6">
        <f>-Composition!L$18</f>
        <v>-60.953167999999998</v>
      </c>
      <c r="E14" s="6">
        <f t="shared" si="1"/>
        <v>1019.1199999999999</v>
      </c>
      <c r="F14" s="128">
        <f>+'Res''l &amp; MF Customers'!H$20</f>
        <v>0.56098413220422594</v>
      </c>
      <c r="G14" s="6">
        <f t="shared" si="2"/>
        <v>-571.71014881197073</v>
      </c>
      <c r="H14" s="6">
        <f t="shared" si="0"/>
        <v>447.40985118802917</v>
      </c>
    </row>
    <row r="15" spans="1:8" x14ac:dyDescent="0.2">
      <c r="A15" t="s">
        <v>12</v>
      </c>
      <c r="C15" s="2">
        <f>+Composition!N$16-D15</f>
        <v>1285.2574700000002</v>
      </c>
      <c r="D15" s="6">
        <f>-Composition!N$18</f>
        <v>-104.97747000000001</v>
      </c>
      <c r="E15" s="6">
        <f t="shared" si="1"/>
        <v>1180.2800000000002</v>
      </c>
      <c r="F15" s="128">
        <f>+'Res''l &amp; MF Customers'!I$20</f>
        <v>0.55917435950627525</v>
      </c>
      <c r="G15" s="6">
        <f t="shared" si="2"/>
        <v>-659.98231303806665</v>
      </c>
      <c r="H15" s="6">
        <f t="shared" si="0"/>
        <v>520.29768696193355</v>
      </c>
    </row>
    <row r="16" spans="1:8" x14ac:dyDescent="0.2">
      <c r="A16" s="64" t="s">
        <v>91</v>
      </c>
      <c r="C16" s="2">
        <f>+Composition!P$16-D16</f>
        <v>1150.03</v>
      </c>
      <c r="D16" s="6">
        <f>-Composition!P$18</f>
        <v>-104.08</v>
      </c>
      <c r="E16" s="6">
        <f t="shared" si="1"/>
        <v>1045.95</v>
      </c>
      <c r="F16" s="128">
        <f>+'Res''l &amp; MF Customers'!J$20</f>
        <v>0.5598693459025883</v>
      </c>
      <c r="G16" s="6">
        <f t="shared" si="2"/>
        <v>-585.59534234681223</v>
      </c>
      <c r="H16" s="6">
        <f t="shared" si="0"/>
        <v>460.35465765318781</v>
      </c>
    </row>
    <row r="17" spans="1:28" x14ac:dyDescent="0.2">
      <c r="A17" t="s">
        <v>15</v>
      </c>
      <c r="C17" s="2">
        <f>+Composition!R$16-D17</f>
        <v>1030.3200000000002</v>
      </c>
      <c r="D17" s="6">
        <f>-Composition!R$18</f>
        <v>-84.93</v>
      </c>
      <c r="E17" s="6">
        <f t="shared" si="1"/>
        <v>945.3900000000001</v>
      </c>
      <c r="F17" s="128">
        <f>+'Res''l &amp; MF Customers'!K$20</f>
        <v>0.56090061086346377</v>
      </c>
      <c r="G17" s="6">
        <f t="shared" si="2"/>
        <v>-530.26982850421007</v>
      </c>
      <c r="H17" s="6">
        <f t="shared" si="0"/>
        <v>415.12017149579003</v>
      </c>
    </row>
    <row r="18" spans="1:28" x14ac:dyDescent="0.2">
      <c r="A18" t="s">
        <v>13</v>
      </c>
      <c r="C18" s="2">
        <f>+Composition!T$16-D18</f>
        <v>1149.07</v>
      </c>
      <c r="D18" s="6">
        <f>-Composition!T$18</f>
        <v>-79.75</v>
      </c>
      <c r="E18" s="6">
        <f t="shared" si="1"/>
        <v>1069.32</v>
      </c>
      <c r="F18" s="128">
        <f>+'Res''l &amp; MF Customers'!L$20</f>
        <v>0.5597480392762304</v>
      </c>
      <c r="G18" s="6">
        <f t="shared" si="2"/>
        <v>-598.5497733588586</v>
      </c>
      <c r="H18" s="6">
        <f t="shared" si="0"/>
        <v>470.77022664114133</v>
      </c>
    </row>
    <row r="19" spans="1:28" x14ac:dyDescent="0.2">
      <c r="A19" t="s">
        <v>14</v>
      </c>
      <c r="C19" s="2">
        <f>+Composition!V$16-D19</f>
        <v>1087.3300000000002</v>
      </c>
      <c r="D19" s="6">
        <f>-Composition!V$18</f>
        <v>-70.819999999999993</v>
      </c>
      <c r="E19" s="6">
        <f t="shared" si="1"/>
        <v>1016.5100000000002</v>
      </c>
      <c r="F19" s="128">
        <f>+'Res''l &amp; MF Customers'!M$20</f>
        <v>0.5602049530315969</v>
      </c>
      <c r="G19" s="6">
        <f t="shared" si="2"/>
        <v>-569.4539368061487</v>
      </c>
      <c r="H19" s="6">
        <f t="shared" si="0"/>
        <v>447.05606319385151</v>
      </c>
      <c r="I19" s="6"/>
    </row>
    <row r="20" spans="1:28" ht="15" x14ac:dyDescent="0.35">
      <c r="A20" t="s">
        <v>2</v>
      </c>
      <c r="C20" s="12">
        <f>+Composition!X$16-D20</f>
        <v>1123.43</v>
      </c>
      <c r="D20" s="7">
        <f>-Composition!X$18</f>
        <v>-97.61</v>
      </c>
      <c r="E20" s="28">
        <f t="shared" si="1"/>
        <v>1025.8200000000002</v>
      </c>
      <c r="F20" s="130">
        <f>+'Res''l &amp; MF Customers'!N$20</f>
        <v>0.56156765643076056</v>
      </c>
      <c r="G20" s="7">
        <f t="shared" si="2"/>
        <v>-576.06733331980286</v>
      </c>
      <c r="H20" s="7">
        <f t="shared" si="0"/>
        <v>449.75266668019731</v>
      </c>
    </row>
    <row r="21" spans="1:28" ht="15" x14ac:dyDescent="0.35">
      <c r="C21" s="15">
        <f>SUM(C9:C20)</f>
        <v>13183.853143</v>
      </c>
      <c r="D21" s="15">
        <f>SUM(D9:D20)</f>
        <v>-984.49314300000003</v>
      </c>
      <c r="E21" s="15">
        <f>SUM(E9:E20)</f>
        <v>12199.36</v>
      </c>
      <c r="F21" s="115">
        <f>-G21/E21</f>
        <v>0.56053168319663849</v>
      </c>
      <c r="G21" s="15">
        <f>SUM(G9:G20)</f>
        <v>-6838.1277947217441</v>
      </c>
      <c r="H21" s="15">
        <f>SUM(H9:H20)</f>
        <v>5361.2322052782565</v>
      </c>
    </row>
    <row r="23" spans="1:28" x14ac:dyDescent="0.2">
      <c r="C23" s="143" t="s">
        <v>41</v>
      </c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42</v>
      </c>
      <c r="D25" s="24" t="s">
        <v>43</v>
      </c>
      <c r="E25" s="24"/>
      <c r="F25" s="24" t="s">
        <v>44</v>
      </c>
      <c r="G25" s="24" t="s">
        <v>45</v>
      </c>
      <c r="H25" s="24"/>
      <c r="I25" s="24"/>
      <c r="J25" s="24" t="s">
        <v>0</v>
      </c>
      <c r="K25" s="24" t="s">
        <v>0</v>
      </c>
      <c r="L25" s="24" t="s">
        <v>46</v>
      </c>
      <c r="N25" s="114"/>
    </row>
    <row r="26" spans="1:28" x14ac:dyDescent="0.2">
      <c r="C26" s="25" t="s">
        <v>47</v>
      </c>
      <c r="D26" s="25" t="s">
        <v>48</v>
      </c>
      <c r="E26" s="25" t="s">
        <v>24</v>
      </c>
      <c r="F26" s="25" t="s">
        <v>22</v>
      </c>
      <c r="G26" s="25" t="s">
        <v>23</v>
      </c>
      <c r="H26" s="25" t="s">
        <v>16</v>
      </c>
      <c r="I26" s="25" t="s">
        <v>1</v>
      </c>
      <c r="J26" s="25" t="s">
        <v>49</v>
      </c>
      <c r="K26" s="25" t="s">
        <v>50</v>
      </c>
      <c r="L26" s="25" t="s">
        <v>51</v>
      </c>
      <c r="M26" s="31"/>
      <c r="N26" s="31"/>
    </row>
    <row r="27" spans="1:28" x14ac:dyDescent="0.2">
      <c r="A27" s="3" t="s">
        <v>54</v>
      </c>
      <c r="B27" s="3"/>
      <c r="C27"/>
    </row>
    <row r="28" spans="1:28" x14ac:dyDescent="0.2">
      <c r="A28" t="s">
        <v>37</v>
      </c>
      <c r="C28" s="26">
        <f>+Composition!C$6</f>
        <v>0.43418534296474653</v>
      </c>
      <c r="D28" s="26">
        <f>+Composition!C$7</f>
        <v>1.8851227593587289E-2</v>
      </c>
      <c r="E28" s="26">
        <f>+Composition!C$8</f>
        <v>0.30794797390463252</v>
      </c>
      <c r="F28" s="26">
        <f>+Composition!C$9</f>
        <v>1.1174908933753162E-2</v>
      </c>
      <c r="G28" s="26">
        <f>+Composition!$C$11</f>
        <v>2.378012389125558E-2</v>
      </c>
      <c r="H28" s="26">
        <f>+Composition!$C$10</f>
        <v>0.149811693523492</v>
      </c>
      <c r="I28" s="26">
        <f>+Composition!C$12</f>
        <v>3.2433989833508259E-2</v>
      </c>
      <c r="J28" s="26">
        <f>+Composition!C$13</f>
        <v>1.1072009219814369E-2</v>
      </c>
      <c r="K28" s="26">
        <f>+Composition!C$14</f>
        <v>7.4499392891687758E-3</v>
      </c>
      <c r="L28" s="26">
        <f>+Composition!C$15</f>
        <v>3.2927908460414481E-3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7</v>
      </c>
      <c r="C29" s="26">
        <f>+Composition!E$6</f>
        <v>0.43650091372511296</v>
      </c>
      <c r="D29" s="26">
        <f>+Composition!E$7</f>
        <v>1.8909300759834567E-2</v>
      </c>
      <c r="E29" s="26">
        <f>+Composition!E$8</f>
        <v>0.30731941906319127</v>
      </c>
      <c r="F29" s="26">
        <f>+Composition!E$9</f>
        <v>1.1474463787631046E-2</v>
      </c>
      <c r="G29" s="26">
        <f>+Composition!$E$11</f>
        <v>2.3929979801865921E-2</v>
      </c>
      <c r="H29" s="26">
        <f>+Composition!$E$10</f>
        <v>0.1472155429450803</v>
      </c>
      <c r="I29" s="26">
        <f>+Composition!E$12</f>
        <v>3.2672886409541212E-2</v>
      </c>
      <c r="J29" s="26">
        <f>+Composition!E$13</f>
        <v>1.1041646628835241E-2</v>
      </c>
      <c r="K29" s="26">
        <f>+Composition!E$14</f>
        <v>7.4348369722035202E-3</v>
      </c>
      <c r="L29" s="26">
        <f>+Composition!E$15</f>
        <v>3.5010099067038568E-3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8</v>
      </c>
      <c r="C30" s="26">
        <f>+Composition!G$6</f>
        <v>0.43969042368708378</v>
      </c>
      <c r="D30" s="26">
        <f>+Composition!G$7</f>
        <v>2.0670534586482256E-2</v>
      </c>
      <c r="E30" s="26">
        <f>+Composition!G$8</f>
        <v>0.30168704104134098</v>
      </c>
      <c r="F30" s="26">
        <f>+Composition!G$9</f>
        <v>1.1486009120298013E-2</v>
      </c>
      <c r="G30" s="26">
        <f>+Composition!$G$11</f>
        <v>2.4170930655762268E-2</v>
      </c>
      <c r="H30" s="26">
        <f>+Composition!$G$10</f>
        <v>0.14750904536598941</v>
      </c>
      <c r="I30" s="26">
        <f>+Composition!G$12</f>
        <v>3.2809522790040457E-2</v>
      </c>
      <c r="J30" s="26">
        <f>+Composition!G$13</f>
        <v>1.1047121539746086E-2</v>
      </c>
      <c r="K30" s="26">
        <f>+Composition!G$14</f>
        <v>7.3219293926224055E-3</v>
      </c>
      <c r="L30" s="26">
        <f>+Composition!G$15</f>
        <v>3.6074418206341386E-3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9</v>
      </c>
      <c r="C31" s="26">
        <f>+Composition!I$6</f>
        <v>0.42633431207180189</v>
      </c>
      <c r="D31" s="26">
        <f>+Composition!I$7</f>
        <v>2.629058120405656E-2</v>
      </c>
      <c r="E31" s="26">
        <f>+Composition!I$8</f>
        <v>0.30516857208304699</v>
      </c>
      <c r="F31" s="26">
        <f>+Composition!I$9</f>
        <v>1.203640074134233E-2</v>
      </c>
      <c r="G31" s="26">
        <f>+Composition!$I$11</f>
        <v>2.1979967097728079E-2</v>
      </c>
      <c r="H31" s="26">
        <f>+Composition!$I$10</f>
        <v>0.15230836509027301</v>
      </c>
      <c r="I31" s="26">
        <f>+Composition!I$12</f>
        <v>3.3464525936569421E-2</v>
      </c>
      <c r="J31" s="26">
        <f>+Composition!I$13</f>
        <v>9.8290331313383734E-3</v>
      </c>
      <c r="K31" s="26">
        <f>+Composition!I$14</f>
        <v>7.5071322962870415E-3</v>
      </c>
      <c r="L31" s="26">
        <f>+Composition!I$15</f>
        <v>5.0811103475562778E-3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10</v>
      </c>
      <c r="C32" s="26">
        <f>+Composition!K$6</f>
        <v>0.43383963263864361</v>
      </c>
      <c r="D32" s="26">
        <f>+Composition!K$7</f>
        <v>2.4413382449412123E-2</v>
      </c>
      <c r="E32" s="26">
        <f>+Composition!K$8</f>
        <v>0.29725992834435083</v>
      </c>
      <c r="F32" s="26">
        <f>+Composition!K$9</f>
        <v>1.1010748347378514E-2</v>
      </c>
      <c r="G32" s="26">
        <f>+Composition!$K$11</f>
        <v>2.4090427410808905E-2</v>
      </c>
      <c r="H32" s="26">
        <f>+Composition!$K$10</f>
        <v>0.15347428975122371</v>
      </c>
      <c r="I32" s="26">
        <f>+Composition!K$12</f>
        <v>3.2699197658575971E-2</v>
      </c>
      <c r="J32" s="26">
        <f>+Composition!K$13</f>
        <v>1.1222687591461876E-2</v>
      </c>
      <c r="K32" s="26">
        <f>+Composition!K$14</f>
        <v>7.4077811979613465E-3</v>
      </c>
      <c r="L32" s="26">
        <f>+Composition!K$15</f>
        <v>4.5819246101831768E-3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11</v>
      </c>
      <c r="C33" s="26">
        <f>+Composition!M$6</f>
        <v>0.46912041761519746</v>
      </c>
      <c r="D33" s="26">
        <f>+Composition!M$7</f>
        <v>2.5816390611507971E-2</v>
      </c>
      <c r="E33" s="26">
        <f>+Composition!M$8</f>
        <v>0.25258065782243511</v>
      </c>
      <c r="F33" s="26">
        <f>+Composition!M$9</f>
        <v>1.0538503807206218E-2</v>
      </c>
      <c r="G33" s="26">
        <f>+Composition!$M$11</f>
        <v>2.7219561975037287E-2</v>
      </c>
      <c r="H33" s="26">
        <f>+Composition!$M$10</f>
        <v>0.16017740795980848</v>
      </c>
      <c r="I33" s="26">
        <f>+Composition!M$12</f>
        <v>3.2920558913572498E-2</v>
      </c>
      <c r="J33" s="26">
        <f>+Composition!M$13</f>
        <v>9.1451448308344473E-3</v>
      </c>
      <c r="K33" s="26">
        <f>+Composition!M$14</f>
        <v>8.4975272784362996E-3</v>
      </c>
      <c r="L33" s="26">
        <f>+Composition!M$15</f>
        <v>3.9838291859643615E-3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12</v>
      </c>
      <c r="C34" s="26">
        <f>+Composition!O$6</f>
        <v>0.49084115633578468</v>
      </c>
      <c r="D34" s="26">
        <f>+Composition!O$7</f>
        <v>3.1009590944521635E-2</v>
      </c>
      <c r="E34" s="26">
        <f>+Composition!O$8</f>
        <v>0.23383434439285591</v>
      </c>
      <c r="F34" s="26">
        <f>+Composition!O$9</f>
        <v>9.7095604432846441E-3</v>
      </c>
      <c r="G34" s="26">
        <f>+Composition!$O$11</f>
        <v>1.8537974040058289E-2</v>
      </c>
      <c r="H34" s="26">
        <f>+Composition!$O$10</f>
        <v>0.17291659606195137</v>
      </c>
      <c r="I34" s="26">
        <f>+Composition!O$12</f>
        <v>2.5163520520554442E-2</v>
      </c>
      <c r="J34" s="26">
        <f>+Composition!O$13</f>
        <v>8.0574101060765235E-3</v>
      </c>
      <c r="K34" s="26">
        <f>+Composition!O$14</f>
        <v>6.0663571355949429E-3</v>
      </c>
      <c r="L34" s="26">
        <f>+Composition!O$15</f>
        <v>3.8634900193174489E-3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38</v>
      </c>
      <c r="C35" s="26">
        <f>+Composition!Q$6</f>
        <v>0.4567522348104594</v>
      </c>
      <c r="D35" s="26">
        <f>+Composition!Q$7</f>
        <v>3.6244562359577411E-2</v>
      </c>
      <c r="E35" s="26">
        <f>+Composition!Q$8</f>
        <v>0.27996558152875373</v>
      </c>
      <c r="F35" s="26">
        <f>+Composition!Q$9</f>
        <v>8.6715426167598836E-3</v>
      </c>
      <c r="G35" s="26">
        <f>+Composition!$Q$11</f>
        <v>2.3901716143219082E-2</v>
      </c>
      <c r="H35" s="26">
        <f>+Composition!$Q$10</f>
        <v>0.14987332090444092</v>
      </c>
      <c r="I35" s="26">
        <f>+Composition!Q$12</f>
        <v>2.5240212247239349E-2</v>
      </c>
      <c r="J35" s="26">
        <f>+Composition!Q$13</f>
        <v>8.7862708542473349E-3</v>
      </c>
      <c r="K35" s="26">
        <f>+Composition!Q$14</f>
        <v>7.3426071991969022E-3</v>
      </c>
      <c r="L35" s="26">
        <f>+Composition!Q$15</f>
        <v>3.2219513361059324E-3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15</v>
      </c>
      <c r="C36" s="26">
        <f>+Composition!S$6</f>
        <v>0.41417827563227871</v>
      </c>
      <c r="D36" s="26">
        <f>+Composition!S$7</f>
        <v>5.6484625392695068E-2</v>
      </c>
      <c r="E36" s="26">
        <f>+Composition!S$8</f>
        <v>0.2903246279313299</v>
      </c>
      <c r="F36" s="26">
        <f>+Composition!S$9</f>
        <v>1.0344937010122804E-2</v>
      </c>
      <c r="G36" s="26">
        <f>+Composition!$S$11</f>
        <v>2.4328583970636454E-2</v>
      </c>
      <c r="H36" s="26">
        <f>+Composition!$S$10</f>
        <v>0.15678185722294502</v>
      </c>
      <c r="I36" s="26">
        <f>+Composition!S$12</f>
        <v>2.9501052475697856E-2</v>
      </c>
      <c r="J36" s="26">
        <f>+Composition!S$13</f>
        <v>1.0683421656670791E-2</v>
      </c>
      <c r="K36" s="26">
        <f>+Composition!S$14</f>
        <v>7.2668422555770629E-3</v>
      </c>
      <c r="L36" s="26">
        <f>+Composition!S$15</f>
        <v>1.0577645204624546E-4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13</v>
      </c>
      <c r="C37" s="26">
        <f>+Composition!U$6</f>
        <v>0.42715931620095016</v>
      </c>
      <c r="D37" s="26">
        <f>+Composition!U$7</f>
        <v>3.2394418883028471E-2</v>
      </c>
      <c r="E37" s="26">
        <f>+Composition!U$8</f>
        <v>0.29245688848988144</v>
      </c>
      <c r="F37" s="26">
        <f>+Composition!U$9</f>
        <v>9.8941383309018825E-3</v>
      </c>
      <c r="G37" s="26">
        <f>+Composition!$U$11</f>
        <v>2.1957879774062022E-2</v>
      </c>
      <c r="H37" s="26">
        <f>+Composition!$U$10</f>
        <v>0.16981820222197286</v>
      </c>
      <c r="I37" s="26">
        <f>+Composition!U$12</f>
        <v>2.6633748550480681E-2</v>
      </c>
      <c r="J37" s="26">
        <f>+Composition!U$13</f>
        <v>9.5668275165525767E-3</v>
      </c>
      <c r="K37" s="26">
        <f>+Composition!U$14</f>
        <v>6.5275128118804484E-3</v>
      </c>
      <c r="L37" s="26">
        <f>+Composition!U$15</f>
        <v>3.59106722028953E-3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14</v>
      </c>
      <c r="C38" s="26">
        <f>+Composition!W$6</f>
        <v>0.41717248231694709</v>
      </c>
      <c r="D38" s="26">
        <f>+Composition!W$7</f>
        <v>3.5759608857758404E-2</v>
      </c>
      <c r="E38" s="26">
        <f>+Composition!W$8</f>
        <v>0.30130544706889251</v>
      </c>
      <c r="F38" s="26">
        <f>+Composition!W$9</f>
        <v>1.0654100795860344E-2</v>
      </c>
      <c r="G38" s="26">
        <f>+Composition!$W$11</f>
        <v>2.07572970260991E-2</v>
      </c>
      <c r="H38" s="26">
        <f>+Composition!$W$10</f>
        <v>0.1598902125901368</v>
      </c>
      <c r="I38" s="26">
        <f>+Composition!W$12</f>
        <v>3.130318442514092E-2</v>
      </c>
      <c r="J38" s="26">
        <f>+Composition!W$13</f>
        <v>1.0545887399041817E-2</v>
      </c>
      <c r="K38" s="26">
        <f>+Composition!W$14</f>
        <v>8.6964220715979156E-3</v>
      </c>
      <c r="L38" s="26">
        <f>+Composition!W$15</f>
        <v>3.9153574485248539E-3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">
        <f>+Composition!Y$6</f>
        <v>0.403452847478115</v>
      </c>
      <c r="D39" s="26">
        <f>+Composition!Y$7</f>
        <v>1.727398568949718E-2</v>
      </c>
      <c r="E39" s="26">
        <f>+Composition!Y$8</f>
        <v>0.33448363260611019</v>
      </c>
      <c r="F39" s="26">
        <f>+Composition!Y$9</f>
        <v>1.0469673042054159E-2</v>
      </c>
      <c r="G39" s="26">
        <f>+Composition!$Y$11</f>
        <v>2.005225088222105E-2</v>
      </c>
      <c r="H39" s="26">
        <f>+Composition!$Y$10</f>
        <v>0.1607786941178764</v>
      </c>
      <c r="I39" s="26">
        <f>+Composition!Y$12</f>
        <v>3.1087325261741822E-2</v>
      </c>
      <c r="J39" s="26">
        <f>+Composition!Y$13</f>
        <v>9.47534655202667E-3</v>
      </c>
      <c r="K39" s="26">
        <f>+Composition!Y$14</f>
        <v>1.1142305667660991E-2</v>
      </c>
      <c r="L39" s="26">
        <f>+Composition!Y$15</f>
        <v>1.7839387026963793E-3</v>
      </c>
      <c r="M39" s="26"/>
      <c r="N39" s="26"/>
      <c r="O39" s="26"/>
      <c r="P39" s="26"/>
      <c r="Q39" s="26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x14ac:dyDescent="0.2">
      <c r="C40"/>
      <c r="N40" s="26"/>
      <c r="R40" s="29"/>
    </row>
    <row r="41" spans="1:28" x14ac:dyDescent="0.2">
      <c r="A41" s="3" t="s">
        <v>55</v>
      </c>
      <c r="B41" s="3"/>
      <c r="C41"/>
      <c r="R41" s="29"/>
    </row>
    <row r="42" spans="1:28" x14ac:dyDescent="0.2">
      <c r="A42" t="s">
        <v>37</v>
      </c>
      <c r="C42" s="18">
        <f>+Prices!B4</f>
        <v>77.72</v>
      </c>
      <c r="D42" s="18">
        <f>+Prices!C4</f>
        <v>40</v>
      </c>
      <c r="E42" s="18">
        <f>+Prices!D4</f>
        <v>98.2</v>
      </c>
      <c r="F42" s="18">
        <f>+Prices!E4</f>
        <v>1062.3499999999999</v>
      </c>
      <c r="G42" s="18">
        <f>+Prices!F4</f>
        <v>113.51</v>
      </c>
      <c r="H42" s="18">
        <f>+Prices!G4</f>
        <v>-53.34</v>
      </c>
      <c r="I42" s="18">
        <f>+Prices!H4</f>
        <v>196.72</v>
      </c>
      <c r="J42" s="18">
        <f>+Prices!I4</f>
        <v>700</v>
      </c>
      <c r="K42" s="18">
        <f>+Prices!J4</f>
        <v>560</v>
      </c>
      <c r="L42" s="18">
        <f>+Prices!K4</f>
        <v>-40.19</v>
      </c>
      <c r="O42" s="18"/>
      <c r="P42" s="18"/>
      <c r="R42" s="29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7</v>
      </c>
      <c r="C43" s="18">
        <f>+Prices!B5</f>
        <v>83.22</v>
      </c>
      <c r="D43" s="18">
        <f>+Prices!C5</f>
        <v>45</v>
      </c>
      <c r="E43" s="18">
        <f>+Prices!D5</f>
        <v>109.4</v>
      </c>
      <c r="F43" s="18">
        <f>+Prices!E5</f>
        <v>1025.56</v>
      </c>
      <c r="G43" s="18">
        <f>+Prices!F5</f>
        <v>122.09</v>
      </c>
      <c r="H43" s="18">
        <f>+Prices!G5</f>
        <v>-53.34</v>
      </c>
      <c r="I43" s="18">
        <f>+Prices!H5</f>
        <v>191</v>
      </c>
      <c r="J43" s="18">
        <f>+Prices!I5</f>
        <v>700</v>
      </c>
      <c r="K43" s="18">
        <f>+Prices!J5</f>
        <v>440</v>
      </c>
      <c r="L43" s="18">
        <f>+Prices!K5</f>
        <v>-5.7</v>
      </c>
      <c r="O43" s="18"/>
      <c r="P43" s="18"/>
      <c r="R43" s="29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8</v>
      </c>
      <c r="C44" s="18">
        <f>+Prices!B6</f>
        <v>76.22</v>
      </c>
      <c r="D44" s="18">
        <f>+Prices!C6</f>
        <v>35</v>
      </c>
      <c r="E44" s="18">
        <f>+Prices!D6</f>
        <v>104.02</v>
      </c>
      <c r="F44" s="18">
        <f>+Prices!E6</f>
        <v>982.36</v>
      </c>
      <c r="G44" s="18">
        <f>+Prices!F6</f>
        <v>66.349999999999994</v>
      </c>
      <c r="H44" s="18">
        <f>+Prices!G6</f>
        <v>-53.34</v>
      </c>
      <c r="I44" s="18">
        <f>+Prices!H6</f>
        <v>145.47</v>
      </c>
      <c r="J44" s="18">
        <f>+Prices!I6</f>
        <v>600</v>
      </c>
      <c r="K44" s="18">
        <f>+Prices!J6</f>
        <v>360</v>
      </c>
      <c r="L44" s="18">
        <f>+Prices!K6</f>
        <v>-30</v>
      </c>
      <c r="O44" s="18"/>
      <c r="P44" s="18"/>
      <c r="R44" s="29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9</v>
      </c>
      <c r="C45" s="18">
        <f>+Prices!B7</f>
        <v>81.02</v>
      </c>
      <c r="D45" s="18">
        <f>+Prices!C7</f>
        <v>35</v>
      </c>
      <c r="E45" s="18">
        <f>+Prices!D7</f>
        <v>105.56</v>
      </c>
      <c r="F45" s="18">
        <f>+Prices!E7</f>
        <v>1053.98</v>
      </c>
      <c r="G45" s="18">
        <f>+Prices!F7</f>
        <v>95.66</v>
      </c>
      <c r="H45" s="18">
        <f>+Prices!G7</f>
        <v>-53.34</v>
      </c>
      <c r="I45" s="18">
        <f>+Prices!H7</f>
        <v>123.21</v>
      </c>
      <c r="J45" s="18">
        <f>+Prices!I7</f>
        <v>426.88</v>
      </c>
      <c r="K45" s="18">
        <f>+Prices!J7</f>
        <v>280</v>
      </c>
      <c r="L45" s="18">
        <f>+Prices!K7</f>
        <v>-58.53</v>
      </c>
      <c r="O45" s="18"/>
      <c r="P45" s="18"/>
      <c r="R45" s="29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10</v>
      </c>
      <c r="C46" s="18">
        <f>+Prices!B8</f>
        <v>81.44</v>
      </c>
      <c r="D46" s="18">
        <f>+Prices!C8</f>
        <v>35</v>
      </c>
      <c r="E46" s="18">
        <f>+Prices!D8</f>
        <v>104.77</v>
      </c>
      <c r="F46" s="18">
        <f>+Prices!E8</f>
        <v>1057.3399999999999</v>
      </c>
      <c r="G46" s="18">
        <f>+Prices!F8</f>
        <v>76.3</v>
      </c>
      <c r="H46" s="18">
        <f>+Prices!G8</f>
        <v>-53.34</v>
      </c>
      <c r="I46" s="18">
        <f>+Prices!H8</f>
        <v>121</v>
      </c>
      <c r="J46" s="18">
        <f>+Prices!I8</f>
        <v>520</v>
      </c>
      <c r="K46" s="18">
        <f>+Prices!J8</f>
        <v>400</v>
      </c>
      <c r="L46" s="18">
        <f>+Prices!K8</f>
        <v>-58.95</v>
      </c>
      <c r="O46" s="18"/>
      <c r="P46" s="18"/>
      <c r="R46" s="29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11</v>
      </c>
      <c r="C47" s="18">
        <f>+Prices!B9</f>
        <v>78.08</v>
      </c>
      <c r="D47" s="18">
        <f>+Prices!C9</f>
        <v>30</v>
      </c>
      <c r="E47" s="18">
        <f>+Prices!D9</f>
        <v>96.4</v>
      </c>
      <c r="F47" s="18">
        <f>+Prices!E9</f>
        <v>987.25</v>
      </c>
      <c r="G47" s="18">
        <f>+Prices!F9</f>
        <v>69.87</v>
      </c>
      <c r="H47" s="18">
        <f>+Prices!G9</f>
        <v>-53.34</v>
      </c>
      <c r="I47" s="18">
        <f>+Prices!H9</f>
        <v>113</v>
      </c>
      <c r="J47" s="18">
        <f>+Prices!I9</f>
        <v>520</v>
      </c>
      <c r="K47" s="18">
        <f>+Prices!J9</f>
        <v>450</v>
      </c>
      <c r="L47" s="18">
        <f>+Prices!K9</f>
        <v>-67.239999999999995</v>
      </c>
      <c r="O47" s="18"/>
      <c r="P47" s="18"/>
      <c r="R47" s="29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12</v>
      </c>
      <c r="C48" s="18">
        <f>+Prices!B10</f>
        <v>74.17</v>
      </c>
      <c r="D48" s="18">
        <f>+Prices!C10</f>
        <v>25</v>
      </c>
      <c r="E48" s="18">
        <f>+Prices!D10</f>
        <v>100.96</v>
      </c>
      <c r="F48" s="18">
        <f>+Prices!E10</f>
        <v>1058.98</v>
      </c>
      <c r="G48" s="18">
        <f>+Prices!F10</f>
        <v>65.14</v>
      </c>
      <c r="H48" s="18">
        <f>+Prices!G10</f>
        <v>-53.34</v>
      </c>
      <c r="I48" s="18">
        <f>+Prices!H10</f>
        <v>111</v>
      </c>
      <c r="J48" s="18">
        <f>+Prices!I10</f>
        <v>500</v>
      </c>
      <c r="K48" s="18">
        <f>+Prices!J10</f>
        <v>450</v>
      </c>
      <c r="L48" s="18">
        <f>+Prices!K10</f>
        <v>-65</v>
      </c>
      <c r="O48" s="18"/>
      <c r="P48" s="18"/>
      <c r="R48" s="29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38</v>
      </c>
      <c r="C49" s="18">
        <f>+Prices!B11</f>
        <v>70.22</v>
      </c>
      <c r="D49" s="18">
        <f>+Prices!C11</f>
        <v>20</v>
      </c>
      <c r="E49" s="18">
        <f>+Prices!D11</f>
        <v>100.04</v>
      </c>
      <c r="F49" s="18">
        <f>+Prices!E11</f>
        <v>1073.98</v>
      </c>
      <c r="G49" s="18">
        <f>+Prices!F11</f>
        <v>64.7</v>
      </c>
      <c r="H49" s="18">
        <f>+Prices!G11</f>
        <v>-53.34</v>
      </c>
      <c r="I49" s="18">
        <f>+Prices!H11</f>
        <v>85</v>
      </c>
      <c r="J49" s="18">
        <f>+Prices!I11</f>
        <v>460</v>
      </c>
      <c r="K49" s="18">
        <f>+Prices!J11</f>
        <v>442</v>
      </c>
      <c r="L49" s="18">
        <f>+Prices!K11</f>
        <v>-68.59</v>
      </c>
      <c r="O49" s="18"/>
      <c r="P49" s="18"/>
      <c r="R49" s="29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15</v>
      </c>
      <c r="C50" s="18">
        <f>+Prices!B12</f>
        <v>77.27</v>
      </c>
      <c r="D50" s="18">
        <f>+Prices!C12</f>
        <v>20</v>
      </c>
      <c r="E50" s="18">
        <f>+Prices!D12</f>
        <v>100.88</v>
      </c>
      <c r="F50" s="18">
        <f>+Prices!E12</f>
        <v>1164.54</v>
      </c>
      <c r="G50" s="18">
        <f>+Prices!F12</f>
        <v>68.97</v>
      </c>
      <c r="H50" s="18">
        <f>+Prices!G12</f>
        <v>-53.34</v>
      </c>
      <c r="I50" s="18">
        <f>+Prices!H12</f>
        <v>84.59</v>
      </c>
      <c r="J50" s="18">
        <f>+Prices!I12</f>
        <v>453.45</v>
      </c>
      <c r="K50" s="18">
        <f>+Prices!J12</f>
        <v>370</v>
      </c>
      <c r="L50" s="18">
        <f>+Prices!K12</f>
        <v>-70</v>
      </c>
      <c r="O50" s="18"/>
      <c r="P50" s="18"/>
      <c r="R50" s="29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13</v>
      </c>
      <c r="C51" s="18">
        <f>+Prices!B13</f>
        <v>78.47</v>
      </c>
      <c r="D51" s="18">
        <f>+Prices!C13</f>
        <v>26</v>
      </c>
      <c r="E51" s="18">
        <f>+Prices!D13</f>
        <v>106.73</v>
      </c>
      <c r="F51" s="18">
        <f>+Prices!E13</f>
        <v>1040.54</v>
      </c>
      <c r="G51" s="18">
        <f>+Prices!F13</f>
        <v>69.17</v>
      </c>
      <c r="H51" s="18">
        <f>+Prices!G13</f>
        <v>-53.34</v>
      </c>
      <c r="I51" s="18">
        <f>+Prices!H13</f>
        <v>122</v>
      </c>
      <c r="J51" s="18">
        <f>+Prices!I13</f>
        <v>440</v>
      </c>
      <c r="K51" s="18">
        <f>+Prices!J13</f>
        <v>300</v>
      </c>
      <c r="L51" s="18">
        <f>+Prices!K13</f>
        <v>-70</v>
      </c>
      <c r="O51" s="18"/>
      <c r="P51" s="18"/>
      <c r="R51" s="29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14</v>
      </c>
      <c r="C52" s="18">
        <f>+Prices!B14</f>
        <v>83.44</v>
      </c>
      <c r="D52" s="18">
        <f>+Prices!C14</f>
        <v>36</v>
      </c>
      <c r="E52" s="18">
        <f>+Prices!D14</f>
        <v>106.44</v>
      </c>
      <c r="F52" s="18">
        <f>+Prices!E14</f>
        <v>1110.78</v>
      </c>
      <c r="G52" s="18">
        <f>+Prices!F14</f>
        <v>87.03</v>
      </c>
      <c r="H52" s="18">
        <f>+Prices!G14</f>
        <v>-53.34</v>
      </c>
      <c r="I52" s="18">
        <f>+Prices!H14</f>
        <v>141</v>
      </c>
      <c r="J52" s="18">
        <f>+Prices!I14</f>
        <v>520</v>
      </c>
      <c r="K52" s="18">
        <f>+Prices!J14</f>
        <v>400</v>
      </c>
      <c r="L52" s="18">
        <f>+Prices!K14</f>
        <v>-31.9</v>
      </c>
      <c r="O52" s="18"/>
      <c r="P52" s="18"/>
      <c r="R52" s="29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18">
        <f>+Prices!B15</f>
        <v>83.37</v>
      </c>
      <c r="D53" s="18">
        <f>+Prices!C15</f>
        <v>44</v>
      </c>
      <c r="E53" s="18">
        <f>+Prices!D15</f>
        <v>105.41</v>
      </c>
      <c r="F53" s="18">
        <f>+Prices!E15</f>
        <v>1074.06</v>
      </c>
      <c r="G53" s="18">
        <f>+Prices!F15</f>
        <v>123.89</v>
      </c>
      <c r="H53" s="18">
        <f>+Prices!G15</f>
        <v>-53.34</v>
      </c>
      <c r="I53" s="18">
        <f>+Prices!H15</f>
        <v>163</v>
      </c>
      <c r="J53" s="18">
        <f>+Prices!I15</f>
        <v>625.11</v>
      </c>
      <c r="K53" s="18">
        <f>+Prices!J15</f>
        <v>470</v>
      </c>
      <c r="L53" s="18">
        <f>+Prices!K15</f>
        <v>-43.86</v>
      </c>
      <c r="O53" s="63"/>
      <c r="P53" s="18"/>
      <c r="R53" s="29"/>
      <c r="S53" s="30"/>
      <c r="T53" s="30"/>
      <c r="U53" s="18"/>
      <c r="V53" s="30"/>
      <c r="W53" s="30"/>
      <c r="X53" s="30"/>
      <c r="Y53" s="30"/>
      <c r="Z53" s="30"/>
    </row>
    <row r="54" spans="1:26" x14ac:dyDescent="0.2">
      <c r="C54" s="64"/>
      <c r="D54" s="64"/>
      <c r="E54" s="64"/>
      <c r="F54" s="64"/>
      <c r="G54" s="64"/>
      <c r="H54" s="64"/>
      <c r="I54" s="64"/>
      <c r="J54" s="64"/>
      <c r="K54" s="64"/>
      <c r="L54" s="64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143" t="s">
        <v>41</v>
      </c>
      <c r="D56" s="143"/>
      <c r="E56" s="143"/>
      <c r="F56" s="143"/>
      <c r="G56" s="143"/>
      <c r="H56" s="143"/>
      <c r="I56" s="143"/>
      <c r="J56" s="143"/>
      <c r="K56" s="143"/>
      <c r="L56" s="143"/>
      <c r="P56" s="4"/>
      <c r="Q56" s="4"/>
      <c r="R56" s="4"/>
      <c r="S56" s="4"/>
      <c r="T56" s="4"/>
      <c r="U56" s="4"/>
    </row>
    <row r="57" spans="1:26" x14ac:dyDescent="0.2">
      <c r="C57" s="24" t="s">
        <v>42</v>
      </c>
      <c r="D57" s="24" t="s">
        <v>43</v>
      </c>
      <c r="E57" s="24"/>
      <c r="F57" s="24" t="s">
        <v>44</v>
      </c>
      <c r="G57" s="24" t="s">
        <v>45</v>
      </c>
      <c r="H57" s="24"/>
      <c r="I57" s="24"/>
      <c r="J57" s="24" t="s">
        <v>0</v>
      </c>
      <c r="K57" s="24" t="s">
        <v>0</v>
      </c>
      <c r="L57" s="24" t="s">
        <v>46</v>
      </c>
      <c r="N57" s="114"/>
      <c r="P57" s="4"/>
      <c r="Q57" s="4"/>
      <c r="R57" s="4"/>
      <c r="S57" s="4"/>
      <c r="T57" s="4"/>
      <c r="U57" s="4"/>
    </row>
    <row r="58" spans="1:26" x14ac:dyDescent="0.2">
      <c r="C58" s="25" t="s">
        <v>47</v>
      </c>
      <c r="D58" s="25" t="s">
        <v>48</v>
      </c>
      <c r="E58" s="25" t="s">
        <v>24</v>
      </c>
      <c r="F58" s="25" t="s">
        <v>22</v>
      </c>
      <c r="G58" s="25" t="s">
        <v>23</v>
      </c>
      <c r="H58" s="25" t="s">
        <v>16</v>
      </c>
      <c r="I58" s="25" t="s">
        <v>1</v>
      </c>
      <c r="J58" s="25" t="s">
        <v>49</v>
      </c>
      <c r="K58" s="25" t="s">
        <v>50</v>
      </c>
      <c r="L58" s="25" t="s">
        <v>51</v>
      </c>
      <c r="M58" s="31" t="s">
        <v>3</v>
      </c>
      <c r="N58" s="31"/>
      <c r="P58" s="4"/>
      <c r="Q58" s="4"/>
      <c r="R58" s="4"/>
      <c r="S58" s="4"/>
      <c r="T58" s="4"/>
      <c r="U58" s="4"/>
    </row>
    <row r="59" spans="1:26" x14ac:dyDescent="0.2">
      <c r="A59" s="3" t="s">
        <v>56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37</v>
      </c>
      <c r="C60" s="2">
        <f t="shared" ref="C60:L60" si="3">+$H9*C28</f>
        <v>184.36487559936614</v>
      </c>
      <c r="D60" s="2">
        <f t="shared" si="3"/>
        <v>8.0046558146235043</v>
      </c>
      <c r="E60" s="2">
        <f t="shared" si="3"/>
        <v>130.76164550449653</v>
      </c>
      <c r="F60" s="2">
        <f t="shared" si="3"/>
        <v>4.745118021114151</v>
      </c>
      <c r="G60" s="2">
        <f t="shared" si="3"/>
        <v>10.097576194102031</v>
      </c>
      <c r="H60" s="2">
        <f t="shared" si="3"/>
        <v>63.61341921675961</v>
      </c>
      <c r="I60" s="2">
        <f t="shared" si="3"/>
        <v>13.772202580618606</v>
      </c>
      <c r="J60" s="2">
        <f t="shared" si="3"/>
        <v>4.701424485008129</v>
      </c>
      <c r="K60" s="2">
        <f t="shared" si="3"/>
        <v>3.1634120140761013</v>
      </c>
      <c r="L60" s="2">
        <f t="shared" si="3"/>
        <v>1.398193155392752</v>
      </c>
      <c r="M60" s="6">
        <f t="shared" ref="M60:M71" si="4">SUM(C60:L60)</f>
        <v>424.62252258555759</v>
      </c>
      <c r="N60" s="2"/>
      <c r="O60" s="6"/>
      <c r="P60" s="80"/>
      <c r="Q60" s="17"/>
      <c r="R60" s="77"/>
      <c r="S60" s="9"/>
      <c r="T60" s="77"/>
      <c r="U60" s="77"/>
      <c r="V60" s="18"/>
      <c r="X60" s="18"/>
    </row>
    <row r="61" spans="1:26" x14ac:dyDescent="0.2">
      <c r="A61" t="s">
        <v>7</v>
      </c>
      <c r="C61" s="2">
        <f t="shared" ref="C61:L61" si="5">+$H10*C29</f>
        <v>198.13681029877117</v>
      </c>
      <c r="D61" s="2">
        <f t="shared" si="5"/>
        <v>8.5833234701845225</v>
      </c>
      <c r="E61" s="2">
        <f t="shared" si="5"/>
        <v>139.49865285825831</v>
      </c>
      <c r="F61" s="2">
        <f t="shared" si="5"/>
        <v>5.2084968972177688</v>
      </c>
      <c r="G61" s="2">
        <f t="shared" si="5"/>
        <v>10.862313730325072</v>
      </c>
      <c r="H61" s="2">
        <f t="shared" si="5"/>
        <v>66.824185673776341</v>
      </c>
      <c r="I61" s="2">
        <f t="shared" si="5"/>
        <v>14.8309002178112</v>
      </c>
      <c r="J61" s="2">
        <f t="shared" si="5"/>
        <v>5.0120322196194467</v>
      </c>
      <c r="K61" s="2">
        <f t="shared" si="5"/>
        <v>3.3748265729667528</v>
      </c>
      <c r="L61" s="2">
        <f t="shared" si="5"/>
        <v>1.5891809476842147</v>
      </c>
      <c r="M61" s="6">
        <f t="shared" si="4"/>
        <v>453.92072288661478</v>
      </c>
      <c r="N61" s="2"/>
      <c r="O61" s="6"/>
      <c r="P61" s="80"/>
      <c r="Q61" s="17"/>
      <c r="R61" s="77"/>
      <c r="S61" s="9"/>
      <c r="T61" s="77"/>
      <c r="U61" s="77"/>
      <c r="V61" s="18"/>
      <c r="X61" s="18"/>
    </row>
    <row r="62" spans="1:26" x14ac:dyDescent="0.2">
      <c r="A62" t="s">
        <v>8</v>
      </c>
      <c r="C62" s="2">
        <f t="shared" ref="C62:L62" si="6">+$H11*C30</f>
        <v>181.11343453118548</v>
      </c>
      <c r="D62" s="2">
        <f t="shared" si="6"/>
        <v>8.5144258570838502</v>
      </c>
      <c r="E62" s="2">
        <f t="shared" si="6"/>
        <v>124.26828789756298</v>
      </c>
      <c r="F62" s="2">
        <f t="shared" si="6"/>
        <v>4.7312164394878158</v>
      </c>
      <c r="G62" s="2">
        <f t="shared" si="6"/>
        <v>9.9562783973564652</v>
      </c>
      <c r="H62" s="2">
        <f t="shared" si="6"/>
        <v>60.760636100784815</v>
      </c>
      <c r="I62" s="2">
        <f t="shared" si="6"/>
        <v>13.514611730689799</v>
      </c>
      <c r="J62" s="2">
        <f t="shared" si="6"/>
        <v>4.5504337050805459</v>
      </c>
      <c r="K62" s="2">
        <f t="shared" si="6"/>
        <v>3.0159851301115248</v>
      </c>
      <c r="L62" s="2">
        <f t="shared" si="6"/>
        <v>1.4859458901280467</v>
      </c>
      <c r="M62" s="6">
        <f t="shared" si="4"/>
        <v>411.91125567947131</v>
      </c>
      <c r="N62" s="2"/>
      <c r="O62" s="6"/>
      <c r="P62" s="80"/>
      <c r="Q62" s="17"/>
      <c r="R62" s="77"/>
      <c r="S62" s="9"/>
      <c r="T62" s="77"/>
      <c r="U62" s="77"/>
      <c r="V62" s="18"/>
    </row>
    <row r="63" spans="1:26" x14ac:dyDescent="0.2">
      <c r="A63" t="s">
        <v>9</v>
      </c>
      <c r="C63" s="2">
        <f t="shared" ref="C63:L63" si="7">+$H12*C31</f>
        <v>180.90822816237014</v>
      </c>
      <c r="D63" s="2">
        <f t="shared" si="7"/>
        <v>11.155992675963089</v>
      </c>
      <c r="E63" s="2">
        <f t="shared" si="7"/>
        <v>129.49346112467413</v>
      </c>
      <c r="F63" s="2">
        <f t="shared" si="7"/>
        <v>5.107456448876567</v>
      </c>
      <c r="G63" s="2">
        <f t="shared" si="7"/>
        <v>9.3268516985972596</v>
      </c>
      <c r="H63" s="2">
        <f t="shared" si="7"/>
        <v>64.629647866925964</v>
      </c>
      <c r="I63" s="2">
        <f t="shared" si="7"/>
        <v>14.200142756651632</v>
      </c>
      <c r="J63" s="2">
        <f t="shared" si="7"/>
        <v>4.1707948855877843</v>
      </c>
      <c r="K63" s="2">
        <f t="shared" si="7"/>
        <v>3.1855329581660938</v>
      </c>
      <c r="L63" s="2">
        <f t="shared" si="7"/>
        <v>2.1560888815326682</v>
      </c>
      <c r="M63" s="6">
        <f t="shared" si="4"/>
        <v>424.33419745934532</v>
      </c>
      <c r="N63" s="2"/>
      <c r="O63" s="6"/>
      <c r="P63" s="80"/>
      <c r="Q63" s="17"/>
      <c r="R63" s="77"/>
      <c r="S63" s="9"/>
      <c r="T63" s="77"/>
      <c r="U63" s="77"/>
      <c r="V63" s="18"/>
    </row>
    <row r="64" spans="1:26" x14ac:dyDescent="0.2">
      <c r="A64" t="s">
        <v>10</v>
      </c>
      <c r="C64" s="2">
        <f t="shared" ref="C64:L64" si="8">+$H13*C32</f>
        <v>189.0161981562068</v>
      </c>
      <c r="D64" s="2">
        <f t="shared" si="8"/>
        <v>10.636475756388309</v>
      </c>
      <c r="E64" s="2">
        <f t="shared" si="8"/>
        <v>129.51085445583351</v>
      </c>
      <c r="F64" s="2">
        <f t="shared" si="8"/>
        <v>4.7971868748324287</v>
      </c>
      <c r="G64" s="2">
        <f t="shared" si="8"/>
        <v>10.495770000206241</v>
      </c>
      <c r="H64" s="2">
        <f t="shared" si="8"/>
        <v>66.866013570647794</v>
      </c>
      <c r="I64" s="2">
        <f t="shared" si="8"/>
        <v>14.246457813434526</v>
      </c>
      <c r="J64" s="2">
        <f t="shared" si="8"/>
        <v>4.8895250273269113</v>
      </c>
      <c r="K64" s="2">
        <f t="shared" si="8"/>
        <v>3.2274382824262169</v>
      </c>
      <c r="L64" s="2">
        <f t="shared" si="8"/>
        <v>1.99626291583311</v>
      </c>
      <c r="M64" s="6">
        <f t="shared" si="4"/>
        <v>435.68218285313577</v>
      </c>
      <c r="N64" s="2"/>
      <c r="O64" s="6"/>
      <c r="P64" s="80"/>
      <c r="Q64" s="17"/>
      <c r="R64" s="77"/>
      <c r="S64" s="9"/>
      <c r="T64" s="77"/>
      <c r="U64" s="77"/>
      <c r="V64" s="18"/>
    </row>
    <row r="65" spans="1:22" x14ac:dyDescent="0.2">
      <c r="A65" t="s">
        <v>11</v>
      </c>
      <c r="C65" s="2">
        <f t="shared" ref="C65:L65" si="9">+$H14*C33</f>
        <v>209.8890962344816</v>
      </c>
      <c r="D65" s="2">
        <f t="shared" si="9"/>
        <v>11.550507481706815</v>
      </c>
      <c r="E65" s="2">
        <f t="shared" si="9"/>
        <v>113.0070745293102</v>
      </c>
      <c r="F65" s="2">
        <f t="shared" si="9"/>
        <v>4.7150304201266131</v>
      </c>
      <c r="G65" s="2">
        <f t="shared" si="9"/>
        <v>12.178300172654769</v>
      </c>
      <c r="H65" s="2">
        <f t="shared" si="9"/>
        <v>71.664950258982145</v>
      </c>
      <c r="I65" s="2">
        <f t="shared" si="9"/>
        <v>14.728982364548218</v>
      </c>
      <c r="J65" s="2">
        <f t="shared" si="9"/>
        <v>4.0916278878566139</v>
      </c>
      <c r="K65" s="2">
        <f t="shared" si="9"/>
        <v>3.8018774151114032</v>
      </c>
      <c r="L65" s="2">
        <f t="shared" si="9"/>
        <v>1.7824044232508423</v>
      </c>
      <c r="M65" s="6">
        <f t="shared" si="4"/>
        <v>447.40985118802922</v>
      </c>
      <c r="N65" s="2"/>
      <c r="O65" s="6"/>
      <c r="P65" s="80"/>
      <c r="Q65" s="17"/>
      <c r="R65" s="77"/>
      <c r="S65" s="9"/>
      <c r="T65" s="77"/>
      <c r="U65" s="77"/>
      <c r="V65" s="18"/>
    </row>
    <row r="66" spans="1:22" x14ac:dyDescent="0.2">
      <c r="A66" t="s">
        <v>12</v>
      </c>
      <c r="C66" s="2">
        <f t="shared" ref="C66:L66" si="10">+$H15*C34</f>
        <v>255.38351830722959</v>
      </c>
      <c r="D66" s="2">
        <f t="shared" si="10"/>
        <v>16.134218442070328</v>
      </c>
      <c r="E66" s="2">
        <f t="shared" si="10"/>
        <v>121.6634685198631</v>
      </c>
      <c r="F66" s="2">
        <f t="shared" si="10"/>
        <v>5.0518618400580868</v>
      </c>
      <c r="G66" s="2">
        <f t="shared" si="10"/>
        <v>9.6452650140026979</v>
      </c>
      <c r="H66" s="2">
        <f t="shared" si="10"/>
        <v>89.968104968364287</v>
      </c>
      <c r="I66" s="2">
        <f t="shared" si="10"/>
        <v>13.092521522663626</v>
      </c>
      <c r="J66" s="2">
        <f t="shared" si="10"/>
        <v>4.1922518410953229</v>
      </c>
      <c r="K66" s="2">
        <f t="shared" si="10"/>
        <v>3.1563115859350694</v>
      </c>
      <c r="L66" s="2">
        <f t="shared" si="10"/>
        <v>2.0101649206513845</v>
      </c>
      <c r="M66" s="6">
        <f t="shared" si="4"/>
        <v>520.29768696193355</v>
      </c>
      <c r="N66" s="2"/>
      <c r="O66" s="6"/>
      <c r="P66" s="80"/>
      <c r="Q66" s="17"/>
      <c r="R66" s="77"/>
      <c r="S66" s="9"/>
      <c r="T66" s="77"/>
      <c r="U66" s="77"/>
      <c r="V66" s="18"/>
    </row>
    <row r="67" spans="1:22" x14ac:dyDescent="0.2">
      <c r="A67" t="s">
        <v>38</v>
      </c>
      <c r="C67" s="2">
        <f t="shared" ref="C67:L67" si="11">+$H16*C35</f>
        <v>210.26801868849751</v>
      </c>
      <c r="D67" s="2">
        <f t="shared" si="11"/>
        <v>16.685353096832877</v>
      </c>
      <c r="E67" s="2">
        <f t="shared" si="11"/>
        <v>128.88345943934507</v>
      </c>
      <c r="F67" s="2">
        <f t="shared" si="11"/>
        <v>3.9919850326635244</v>
      </c>
      <c r="G67" s="2">
        <f t="shared" si="11"/>
        <v>11.003266352435293</v>
      </c>
      <c r="H67" s="2">
        <f t="shared" si="11"/>
        <v>68.994881336310257</v>
      </c>
      <c r="I67" s="2">
        <f t="shared" si="11"/>
        <v>11.619449268171669</v>
      </c>
      <c r="J67" s="2">
        <f t="shared" si="11"/>
        <v>4.0448007111552142</v>
      </c>
      <c r="K67" s="2">
        <f t="shared" si="11"/>
        <v>3.3802034234681222</v>
      </c>
      <c r="L67" s="2">
        <f t="shared" si="11"/>
        <v>1.4832403043082776</v>
      </c>
      <c r="M67" s="6">
        <f t="shared" si="4"/>
        <v>460.35465765318776</v>
      </c>
      <c r="N67" s="2"/>
      <c r="O67" s="6"/>
      <c r="P67" s="80"/>
      <c r="Q67" s="17"/>
      <c r="R67" s="77"/>
      <c r="S67" s="9"/>
      <c r="T67" s="77"/>
      <c r="U67" s="77"/>
      <c r="V67" s="18"/>
    </row>
    <row r="68" spans="1:22" x14ac:dyDescent="0.2">
      <c r="A68" t="s">
        <v>15</v>
      </c>
      <c r="C68" s="2">
        <f t="shared" ref="C68:L68" si="12">+$H17*C36</f>
        <v>171.93375681030213</v>
      </c>
      <c r="D68" s="2">
        <f t="shared" si="12"/>
        <v>23.447907379891031</v>
      </c>
      <c r="E68" s="2">
        <f t="shared" si="12"/>
        <v>120.51960933630511</v>
      </c>
      <c r="F68" s="2">
        <f t="shared" si="12"/>
        <v>4.2943920257553234</v>
      </c>
      <c r="G68" s="2">
        <f t="shared" si="12"/>
        <v>10.099285950140333</v>
      </c>
      <c r="H68" s="2">
        <f t="shared" si="12"/>
        <v>65.083311457817402</v>
      </c>
      <c r="I68" s="2">
        <f t="shared" si="12"/>
        <v>12.246481963017995</v>
      </c>
      <c r="J68" s="2">
        <f t="shared" si="12"/>
        <v>4.4349038302790156</v>
      </c>
      <c r="K68" s="2">
        <f t="shared" si="12"/>
        <v>3.016612803368004</v>
      </c>
      <c r="L68" s="2">
        <f t="shared" si="12"/>
        <v>4.3909938913653628E-2</v>
      </c>
      <c r="M68" s="6">
        <f t="shared" si="4"/>
        <v>415.12017149578992</v>
      </c>
      <c r="N68" s="2"/>
      <c r="O68" s="6"/>
      <c r="P68" s="80"/>
      <c r="Q68" s="17"/>
      <c r="R68" s="77"/>
      <c r="S68" s="9"/>
      <c r="T68" s="77"/>
      <c r="U68" s="77"/>
      <c r="V68" s="18"/>
    </row>
    <row r="69" spans="1:22" x14ac:dyDescent="0.2">
      <c r="A69" t="s">
        <v>13</v>
      </c>
      <c r="C69" s="2">
        <f t="shared" ref="C69:L69" si="13">+$H18*C37</f>
        <v>201.09388809979626</v>
      </c>
      <c r="D69" s="2">
        <f t="shared" si="13"/>
        <v>15.250327919471381</v>
      </c>
      <c r="E69" s="2">
        <f t="shared" si="13"/>
        <v>137.67999567714449</v>
      </c>
      <c r="F69" s="2">
        <f t="shared" si="13"/>
        <v>4.6578657444574834</v>
      </c>
      <c r="G69" s="2">
        <f t="shared" si="13"/>
        <v>10.337116037794111</v>
      </c>
      <c r="H69" s="2">
        <f t="shared" si="13"/>
        <v>79.945353547829328</v>
      </c>
      <c r="I69" s="2">
        <f t="shared" si="13"/>
        <v>12.538375841412959</v>
      </c>
      <c r="J69" s="2">
        <f t="shared" si="13"/>
        <v>4.5037775582041641</v>
      </c>
      <c r="K69" s="2">
        <f t="shared" si="13"/>
        <v>3.0729586858519125</v>
      </c>
      <c r="L69" s="2">
        <f t="shared" si="13"/>
        <v>1.6905675291792754</v>
      </c>
      <c r="M69" s="6">
        <f t="shared" si="4"/>
        <v>470.77022664114128</v>
      </c>
      <c r="N69" s="2"/>
      <c r="O69" s="6"/>
      <c r="P69" s="80"/>
      <c r="Q69" s="17"/>
      <c r="R69" s="77"/>
      <c r="S69" s="9"/>
      <c r="T69" s="77"/>
      <c r="U69" s="77"/>
      <c r="V69" s="18"/>
    </row>
    <row r="70" spans="1:22" x14ac:dyDescent="0.2">
      <c r="A70" t="s">
        <v>14</v>
      </c>
      <c r="C70" s="2">
        <f t="shared" ref="C70:L70" si="14">+$H19*C38</f>
        <v>186.49948761742101</v>
      </c>
      <c r="D70" s="2">
        <f t="shared" si="14"/>
        <v>15.986549957301454</v>
      </c>
      <c r="E70" s="2">
        <f t="shared" si="14"/>
        <v>134.70042698548249</v>
      </c>
      <c r="F70" s="2">
        <f t="shared" si="14"/>
        <v>4.7629803586678054</v>
      </c>
      <c r="G70" s="2">
        <f t="shared" si="14"/>
        <v>9.2796754910333057</v>
      </c>
      <c r="H70" s="2">
        <f t="shared" si="14"/>
        <v>71.479888983774558</v>
      </c>
      <c r="I70" s="2">
        <f t="shared" si="14"/>
        <v>13.994278394534588</v>
      </c>
      <c r="J70" s="2">
        <f t="shared" si="14"/>
        <v>4.7146029035012811</v>
      </c>
      <c r="K70" s="2">
        <f t="shared" si="14"/>
        <v>3.8877882152006831</v>
      </c>
      <c r="L70" s="2">
        <f t="shared" si="14"/>
        <v>1.7503842869342443</v>
      </c>
      <c r="M70" s="6">
        <f t="shared" si="4"/>
        <v>447.0560631938514</v>
      </c>
      <c r="N70" s="2"/>
      <c r="O70" s="6"/>
      <c r="P70" s="80"/>
      <c r="Q70" s="17"/>
      <c r="R70" s="77"/>
      <c r="S70" s="9"/>
      <c r="T70" s="77"/>
      <c r="U70" s="77"/>
      <c r="V70" s="18"/>
    </row>
    <row r="71" spans="1:22" ht="15" x14ac:dyDescent="0.35">
      <c r="A71" t="s">
        <v>2</v>
      </c>
      <c r="C71" s="12">
        <f t="shared" ref="C71:L71" si="15">+$H20*C39</f>
        <v>181.45399403300112</v>
      </c>
      <c r="D71" s="12">
        <f t="shared" si="15"/>
        <v>7.7690211280469237</v>
      </c>
      <c r="E71" s="12">
        <f t="shared" si="15"/>
        <v>150.43490572547745</v>
      </c>
      <c r="F71" s="12">
        <f t="shared" si="15"/>
        <v>4.7087633699336315</v>
      </c>
      <c r="G71" s="12">
        <f t="shared" si="15"/>
        <v>9.018553307219257</v>
      </c>
      <c r="H71" s="12">
        <f t="shared" si="15"/>
        <v>72.310646424874662</v>
      </c>
      <c r="I71" s="12">
        <f t="shared" si="15"/>
        <v>13.981607436423047</v>
      </c>
      <c r="J71" s="12">
        <f t="shared" si="15"/>
        <v>4.2615623794930073</v>
      </c>
      <c r="K71" s="12">
        <f t="shared" si="15"/>
        <v>5.0112816869964067</v>
      </c>
      <c r="L71" s="12">
        <f t="shared" si="15"/>
        <v>0.80233118873170828</v>
      </c>
      <c r="M71" s="7">
        <f t="shared" si="4"/>
        <v>449.75266668019725</v>
      </c>
      <c r="N71" s="12"/>
      <c r="O71" s="7"/>
      <c r="P71" s="80"/>
      <c r="Q71" s="79"/>
      <c r="R71" s="77"/>
      <c r="S71" s="9"/>
      <c r="T71" s="77"/>
      <c r="U71" s="77"/>
      <c r="V71" s="18"/>
    </row>
    <row r="72" spans="1:22" ht="15" x14ac:dyDescent="0.35">
      <c r="C72" s="15">
        <f>SUM(C60:C71)</f>
        <v>2350.0613065386292</v>
      </c>
      <c r="D72" s="15">
        <f t="shared" ref="D72:L72" si="16">SUM(D60:D71)</f>
        <v>153.71875897956409</v>
      </c>
      <c r="E72" s="15">
        <f t="shared" si="16"/>
        <v>1560.4218420537532</v>
      </c>
      <c r="F72" s="15">
        <f t="shared" si="16"/>
        <v>56.772353473191188</v>
      </c>
      <c r="G72" s="15">
        <f t="shared" si="16"/>
        <v>122.30025234586682</v>
      </c>
      <c r="H72" s="15">
        <f t="shared" si="16"/>
        <v>842.14103940684731</v>
      </c>
      <c r="I72" s="15">
        <f t="shared" si="16"/>
        <v>162.76601188997785</v>
      </c>
      <c r="J72" s="15">
        <f t="shared" si="16"/>
        <v>53.56773743420743</v>
      </c>
      <c r="K72" s="15">
        <f t="shared" si="16"/>
        <v>41.294228773678292</v>
      </c>
      <c r="L72" s="15">
        <f t="shared" si="16"/>
        <v>18.188674382540182</v>
      </c>
      <c r="M72" s="8">
        <f>SUM(M60:M71)</f>
        <v>5361.2322052782556</v>
      </c>
      <c r="N72" s="8"/>
      <c r="O72" s="8"/>
      <c r="Q72" s="17"/>
    </row>
    <row r="73" spans="1:22" x14ac:dyDescent="0.2">
      <c r="C73" s="81">
        <f t="shared" ref="C73:M73" si="17">+C72/$M72</f>
        <v>0.43834350323885246</v>
      </c>
      <c r="D73" s="81">
        <f t="shared" si="17"/>
        <v>2.8672281500552142E-2</v>
      </c>
      <c r="E73" s="81">
        <f t="shared" si="17"/>
        <v>0.29105656727897034</v>
      </c>
      <c r="F73" s="81">
        <f t="shared" si="17"/>
        <v>1.0589422599024439E-2</v>
      </c>
      <c r="G73" s="81">
        <f t="shared" si="17"/>
        <v>2.2811967037253009E-2</v>
      </c>
      <c r="H73" s="81">
        <f t="shared" si="17"/>
        <v>0.15707975464628079</v>
      </c>
      <c r="I73" s="81">
        <f t="shared" si="17"/>
        <v>3.0359813874454269E-2</v>
      </c>
      <c r="J73" s="81">
        <f t="shared" si="17"/>
        <v>9.9916838859299487E-3</v>
      </c>
      <c r="K73" s="81">
        <f t="shared" si="17"/>
        <v>7.7023764673022702E-3</v>
      </c>
      <c r="L73" s="81">
        <f t="shared" si="17"/>
        <v>3.3926294713802949E-3</v>
      </c>
      <c r="M73" s="81">
        <f t="shared" si="17"/>
        <v>1</v>
      </c>
    </row>
    <row r="75" spans="1:22" x14ac:dyDescent="0.2">
      <c r="A75" s="3" t="s">
        <v>57</v>
      </c>
      <c r="B75" s="78">
        <v>1.0500000000000001E-2</v>
      </c>
    </row>
    <row r="76" spans="1:22" x14ac:dyDescent="0.2">
      <c r="A76" t="s">
        <v>37</v>
      </c>
      <c r="C76" s="2">
        <f>+$B$75*C60</f>
        <v>1.9358311937933446</v>
      </c>
      <c r="D76" s="2">
        <f t="shared" ref="D76:L76" si="18">+$B$75*D60</f>
        <v>8.4048886053546795E-2</v>
      </c>
      <c r="E76" s="2">
        <f t="shared" si="18"/>
        <v>1.3729972777972137</v>
      </c>
      <c r="F76" s="2">
        <f t="shared" si="18"/>
        <v>4.9823739221698589E-2</v>
      </c>
      <c r="G76" s="2">
        <f t="shared" si="18"/>
        <v>0.10602455003807133</v>
      </c>
      <c r="H76" s="2">
        <f t="shared" si="18"/>
        <v>0.66794090177597598</v>
      </c>
      <c r="I76" s="2">
        <f t="shared" si="18"/>
        <v>0.14460812709649537</v>
      </c>
      <c r="J76" s="2">
        <f t="shared" si="18"/>
        <v>4.9364957092585357E-2</v>
      </c>
      <c r="K76" s="2">
        <f t="shared" si="18"/>
        <v>3.3215826147799069E-2</v>
      </c>
      <c r="L76" s="2">
        <f t="shared" si="18"/>
        <v>1.4681028131623896E-2</v>
      </c>
      <c r="M76" s="6">
        <f t="shared" ref="M76:M87" si="19">SUM(C76:L76)</f>
        <v>4.4585364871483542</v>
      </c>
      <c r="N76" s="2"/>
      <c r="O76" s="6"/>
    </row>
    <row r="77" spans="1:22" x14ac:dyDescent="0.2">
      <c r="A77" t="s">
        <v>7</v>
      </c>
      <c r="C77" s="2">
        <f t="shared" ref="C77:L87" si="20">+$B$75*C61</f>
        <v>2.0804365081370975</v>
      </c>
      <c r="D77" s="2">
        <f t="shared" si="20"/>
        <v>9.0124896436937496E-2</v>
      </c>
      <c r="E77" s="2">
        <f t="shared" si="20"/>
        <v>1.4647358550117124</v>
      </c>
      <c r="F77" s="2">
        <f t="shared" si="20"/>
        <v>5.4689217420786577E-2</v>
      </c>
      <c r="G77" s="2">
        <f t="shared" si="20"/>
        <v>0.11405429416841326</v>
      </c>
      <c r="H77" s="2">
        <f t="shared" si="20"/>
        <v>0.70165394957465166</v>
      </c>
      <c r="I77" s="2">
        <f t="shared" si="20"/>
        <v>0.15572445228701762</v>
      </c>
      <c r="J77" s="2">
        <f t="shared" si="20"/>
        <v>5.2626338306004196E-2</v>
      </c>
      <c r="K77" s="2">
        <f t="shared" si="20"/>
        <v>3.5435679016150905E-2</v>
      </c>
      <c r="L77" s="2">
        <f t="shared" si="20"/>
        <v>1.6686399950684255E-2</v>
      </c>
      <c r="M77" s="6">
        <f t="shared" si="19"/>
        <v>4.7661675903094558</v>
      </c>
      <c r="N77" s="2"/>
      <c r="O77" s="6"/>
    </row>
    <row r="78" spans="1:22" x14ac:dyDescent="0.2">
      <c r="A78" t="s">
        <v>8</v>
      </c>
      <c r="C78" s="2">
        <f t="shared" si="20"/>
        <v>1.9016910625774477</v>
      </c>
      <c r="D78" s="2">
        <f t="shared" si="20"/>
        <v>8.9401471499380436E-2</v>
      </c>
      <c r="E78" s="2">
        <f t="shared" si="20"/>
        <v>1.3048170229244114</v>
      </c>
      <c r="F78" s="2">
        <f t="shared" si="20"/>
        <v>4.9677772614622071E-2</v>
      </c>
      <c r="G78" s="2">
        <f t="shared" si="20"/>
        <v>0.10454092317224289</v>
      </c>
      <c r="H78" s="2">
        <f t="shared" si="20"/>
        <v>0.63798667905824058</v>
      </c>
      <c r="I78" s="2">
        <f t="shared" si="20"/>
        <v>0.14190342317224289</v>
      </c>
      <c r="J78" s="2">
        <f t="shared" si="20"/>
        <v>4.7779553903345734E-2</v>
      </c>
      <c r="K78" s="2">
        <f t="shared" si="20"/>
        <v>3.1667843866171011E-2</v>
      </c>
      <c r="L78" s="2">
        <f t="shared" si="20"/>
        <v>1.5602431846344491E-2</v>
      </c>
      <c r="M78" s="6">
        <f t="shared" si="19"/>
        <v>4.3250681846344499</v>
      </c>
      <c r="N78" s="2"/>
      <c r="O78" s="6"/>
    </row>
    <row r="79" spans="1:22" x14ac:dyDescent="0.2">
      <c r="A79" t="s">
        <v>9</v>
      </c>
      <c r="C79" s="2">
        <f t="shared" si="20"/>
        <v>1.8995363957048865</v>
      </c>
      <c r="D79" s="2">
        <f t="shared" si="20"/>
        <v>0.11713792309761245</v>
      </c>
      <c r="E79" s="2">
        <f t="shared" si="20"/>
        <v>1.3596813418090785</v>
      </c>
      <c r="F79" s="2">
        <f t="shared" si="20"/>
        <v>5.3628292713203955E-2</v>
      </c>
      <c r="G79" s="2">
        <f t="shared" si="20"/>
        <v>9.7931942835271235E-2</v>
      </c>
      <c r="H79" s="2">
        <f t="shared" si="20"/>
        <v>0.67861130260272262</v>
      </c>
      <c r="I79" s="2">
        <f t="shared" si="20"/>
        <v>0.14910149894484215</v>
      </c>
      <c r="J79" s="2">
        <f t="shared" si="20"/>
        <v>4.3793346298671737E-2</v>
      </c>
      <c r="K79" s="2">
        <f t="shared" si="20"/>
        <v>3.344809606074399E-2</v>
      </c>
      <c r="L79" s="2">
        <f t="shared" si="20"/>
        <v>2.2638933256093018E-2</v>
      </c>
      <c r="M79" s="6">
        <f t="shared" si="19"/>
        <v>4.4555090733231264</v>
      </c>
      <c r="N79" s="2"/>
      <c r="O79" s="6"/>
    </row>
    <row r="80" spans="1:22" x14ac:dyDescent="0.2">
      <c r="A80" t="s">
        <v>10</v>
      </c>
      <c r="C80" s="2">
        <f t="shared" si="20"/>
        <v>1.9846700806401716</v>
      </c>
      <c r="D80" s="2">
        <f t="shared" si="20"/>
        <v>0.11168299544207726</v>
      </c>
      <c r="E80" s="2">
        <f t="shared" si="20"/>
        <v>1.359863971786252</v>
      </c>
      <c r="F80" s="2">
        <f t="shared" si="20"/>
        <v>5.0370462185740504E-2</v>
      </c>
      <c r="G80" s="2">
        <f t="shared" si="20"/>
        <v>0.11020558500216554</v>
      </c>
      <c r="H80" s="2">
        <f t="shared" si="20"/>
        <v>0.70209314249180188</v>
      </c>
      <c r="I80" s="2">
        <f t="shared" si="20"/>
        <v>0.14958780704106253</v>
      </c>
      <c r="J80" s="2">
        <f t="shared" si="20"/>
        <v>5.1340012786932572E-2</v>
      </c>
      <c r="K80" s="2">
        <f t="shared" si="20"/>
        <v>3.388810196547528E-2</v>
      </c>
      <c r="L80" s="2">
        <f t="shared" si="20"/>
        <v>2.0960760616247655E-2</v>
      </c>
      <c r="M80" s="6">
        <f t="shared" si="19"/>
        <v>4.5746629199579276</v>
      </c>
      <c r="N80" s="2"/>
      <c r="O80" s="6"/>
    </row>
    <row r="81" spans="1:17" x14ac:dyDescent="0.2">
      <c r="A81" t="s">
        <v>11</v>
      </c>
      <c r="C81" s="2">
        <f t="shared" si="20"/>
        <v>2.2038355104620568</v>
      </c>
      <c r="D81" s="2">
        <f t="shared" si="20"/>
        <v>0.12128032855792156</v>
      </c>
      <c r="E81" s="2">
        <f t="shared" si="20"/>
        <v>1.1865742825577572</v>
      </c>
      <c r="F81" s="2">
        <f t="shared" si="20"/>
        <v>4.9507819411329437E-2</v>
      </c>
      <c r="G81" s="2">
        <f t="shared" si="20"/>
        <v>0.12787215181287509</v>
      </c>
      <c r="H81" s="2">
        <f t="shared" si="20"/>
        <v>0.75248197771931258</v>
      </c>
      <c r="I81" s="2">
        <f t="shared" si="20"/>
        <v>0.1546543148277563</v>
      </c>
      <c r="J81" s="2">
        <f t="shared" si="20"/>
        <v>4.2962092822494448E-2</v>
      </c>
      <c r="K81" s="2">
        <f t="shared" si="20"/>
        <v>3.9919712858669736E-2</v>
      </c>
      <c r="L81" s="2">
        <f t="shared" si="20"/>
        <v>1.8715246444133846E-2</v>
      </c>
      <c r="M81" s="6">
        <f t="shared" si="19"/>
        <v>4.6978034374743078</v>
      </c>
      <c r="N81" s="2"/>
      <c r="O81" s="6"/>
    </row>
    <row r="82" spans="1:17" x14ac:dyDescent="0.2">
      <c r="A82" t="s">
        <v>12</v>
      </c>
      <c r="C82" s="2">
        <f t="shared" si="20"/>
        <v>2.6815269422259109</v>
      </c>
      <c r="D82" s="2">
        <f t="shared" si="20"/>
        <v>0.16940929364173846</v>
      </c>
      <c r="E82" s="2">
        <f t="shared" si="20"/>
        <v>1.2774664194585625</v>
      </c>
      <c r="F82" s="2">
        <f t="shared" si="20"/>
        <v>5.3044549320609917E-2</v>
      </c>
      <c r="G82" s="2">
        <f t="shared" si="20"/>
        <v>0.10127528264702833</v>
      </c>
      <c r="H82" s="2">
        <f t="shared" si="20"/>
        <v>0.94466510216782507</v>
      </c>
      <c r="I82" s="2">
        <f t="shared" si="20"/>
        <v>0.13747147598796808</v>
      </c>
      <c r="J82" s="2">
        <f t="shared" si="20"/>
        <v>4.4018644331500892E-2</v>
      </c>
      <c r="K82" s="2">
        <f t="shared" si="20"/>
        <v>3.3141271652318234E-2</v>
      </c>
      <c r="L82" s="2">
        <f t="shared" si="20"/>
        <v>2.1106731666839539E-2</v>
      </c>
      <c r="M82" s="6">
        <f t="shared" si="19"/>
        <v>5.4631257131003021</v>
      </c>
      <c r="N82" s="2"/>
      <c r="O82" s="6"/>
    </row>
    <row r="83" spans="1:17" x14ac:dyDescent="0.2">
      <c r="A83" t="s">
        <v>38</v>
      </c>
      <c r="C83" s="2">
        <f t="shared" si="20"/>
        <v>2.2078141962292239</v>
      </c>
      <c r="D83" s="2">
        <f t="shared" si="20"/>
        <v>0.17519620751674522</v>
      </c>
      <c r="E83" s="2">
        <f t="shared" si="20"/>
        <v>1.3532763241131234</v>
      </c>
      <c r="F83" s="2">
        <f t="shared" si="20"/>
        <v>4.191584284296701E-2</v>
      </c>
      <c r="G83" s="2">
        <f t="shared" si="20"/>
        <v>0.11553429670057058</v>
      </c>
      <c r="H83" s="2">
        <f t="shared" si="20"/>
        <v>0.72444625403125773</v>
      </c>
      <c r="I83" s="2">
        <f t="shared" si="20"/>
        <v>0.12200421731580254</v>
      </c>
      <c r="J83" s="2">
        <f t="shared" si="20"/>
        <v>4.2470407467129753E-2</v>
      </c>
      <c r="K83" s="2">
        <f t="shared" si="20"/>
        <v>3.5492135946415287E-2</v>
      </c>
      <c r="L83" s="2">
        <f t="shared" si="20"/>
        <v>1.5574023195236916E-2</v>
      </c>
      <c r="M83" s="6">
        <f t="shared" si="19"/>
        <v>4.8337239053584726</v>
      </c>
      <c r="N83" s="2"/>
      <c r="O83" s="6"/>
    </row>
    <row r="84" spans="1:17" x14ac:dyDescent="0.2">
      <c r="A84" t="s">
        <v>15</v>
      </c>
      <c r="C84" s="2">
        <f t="shared" si="20"/>
        <v>1.8053044465081725</v>
      </c>
      <c r="D84" s="2">
        <f t="shared" si="20"/>
        <v>0.24620302748885584</v>
      </c>
      <c r="E84" s="2">
        <f t="shared" si="20"/>
        <v>1.2654558980312036</v>
      </c>
      <c r="F84" s="2">
        <f t="shared" si="20"/>
        <v>4.50911162704309E-2</v>
      </c>
      <c r="G84" s="2">
        <f t="shared" si="20"/>
        <v>0.1060425024764735</v>
      </c>
      <c r="H84" s="2">
        <f t="shared" si="20"/>
        <v>0.68337477030708271</v>
      </c>
      <c r="I84" s="2">
        <f t="shared" si="20"/>
        <v>0.12858806061168895</v>
      </c>
      <c r="J84" s="2">
        <f t="shared" si="20"/>
        <v>4.6566490217929669E-2</v>
      </c>
      <c r="K84" s="2">
        <f t="shared" si="20"/>
        <v>3.1674434435364045E-2</v>
      </c>
      <c r="L84" s="2">
        <f t="shared" si="20"/>
        <v>4.6105435859336314E-4</v>
      </c>
      <c r="M84" s="6">
        <f t="shared" si="19"/>
        <v>4.3587618007057944</v>
      </c>
      <c r="N84" s="2"/>
      <c r="O84" s="6"/>
    </row>
    <row r="85" spans="1:17" x14ac:dyDescent="0.2">
      <c r="A85" t="s">
        <v>13</v>
      </c>
      <c r="C85" s="2">
        <f t="shared" si="20"/>
        <v>2.1114858250478608</v>
      </c>
      <c r="D85" s="2">
        <f t="shared" si="20"/>
        <v>0.16012844315444952</v>
      </c>
      <c r="E85" s="2">
        <f t="shared" si="20"/>
        <v>1.4456399546100172</v>
      </c>
      <c r="F85" s="2">
        <f t="shared" si="20"/>
        <v>4.8907590316803577E-2</v>
      </c>
      <c r="G85" s="2">
        <f t="shared" si="20"/>
        <v>0.10853971839683817</v>
      </c>
      <c r="H85" s="2">
        <f t="shared" si="20"/>
        <v>0.83942621225220804</v>
      </c>
      <c r="I85" s="2">
        <f t="shared" si="20"/>
        <v>0.13165294633483607</v>
      </c>
      <c r="J85" s="2">
        <f t="shared" si="20"/>
        <v>4.7289664361143728E-2</v>
      </c>
      <c r="K85" s="2">
        <f t="shared" si="20"/>
        <v>3.2266066201445086E-2</v>
      </c>
      <c r="L85" s="2">
        <f t="shared" si="20"/>
        <v>1.7750959056382392E-2</v>
      </c>
      <c r="M85" s="6">
        <f t="shared" si="19"/>
        <v>4.9430873797319848</v>
      </c>
      <c r="N85" s="2"/>
      <c r="O85" s="6"/>
    </row>
    <row r="86" spans="1:17" x14ac:dyDescent="0.2">
      <c r="A86" t="s">
        <v>14</v>
      </c>
      <c r="C86" s="2">
        <f t="shared" si="20"/>
        <v>1.9582446199829207</v>
      </c>
      <c r="D86" s="2">
        <f t="shared" si="20"/>
        <v>0.16785877455166529</v>
      </c>
      <c r="E86" s="2">
        <f t="shared" si="20"/>
        <v>1.4143544833475663</v>
      </c>
      <c r="F86" s="2">
        <f t="shared" si="20"/>
        <v>5.0011293766011961E-2</v>
      </c>
      <c r="G86" s="2">
        <f t="shared" si="20"/>
        <v>9.743659265584971E-2</v>
      </c>
      <c r="H86" s="2">
        <f t="shared" si="20"/>
        <v>0.75053883432963286</v>
      </c>
      <c r="I86" s="2">
        <f t="shared" si="20"/>
        <v>0.14693992314261317</v>
      </c>
      <c r="J86" s="2">
        <f t="shared" si="20"/>
        <v>4.9503330486763454E-2</v>
      </c>
      <c r="K86" s="2">
        <f t="shared" si="20"/>
        <v>4.0821776259607173E-2</v>
      </c>
      <c r="L86" s="2">
        <f t="shared" si="20"/>
        <v>1.8379035012809568E-2</v>
      </c>
      <c r="M86" s="6">
        <f t="shared" si="19"/>
        <v>4.6940886635354415</v>
      </c>
      <c r="N86" s="2"/>
      <c r="O86" s="6"/>
    </row>
    <row r="87" spans="1:17" ht="15" x14ac:dyDescent="0.35">
      <c r="A87" t="s">
        <v>2</v>
      </c>
      <c r="C87" s="12">
        <f t="shared" si="20"/>
        <v>1.9052669373465119</v>
      </c>
      <c r="D87" s="12">
        <f t="shared" si="20"/>
        <v>8.1574721844492701E-2</v>
      </c>
      <c r="E87" s="12">
        <f t="shared" si="20"/>
        <v>1.5795665101175134</v>
      </c>
      <c r="F87" s="12">
        <f t="shared" si="20"/>
        <v>4.9442015384303137E-2</v>
      </c>
      <c r="G87" s="12">
        <f t="shared" si="20"/>
        <v>9.4694809725802201E-2</v>
      </c>
      <c r="H87" s="12">
        <f t="shared" si="20"/>
        <v>0.759261787461184</v>
      </c>
      <c r="I87" s="12">
        <f t="shared" si="20"/>
        <v>0.146806878082442</v>
      </c>
      <c r="J87" s="12">
        <f t="shared" si="20"/>
        <v>4.474640498467658E-2</v>
      </c>
      <c r="K87" s="12">
        <f t="shared" si="20"/>
        <v>5.2618457713462276E-2</v>
      </c>
      <c r="L87" s="12">
        <f t="shared" si="20"/>
        <v>8.424477481682938E-3</v>
      </c>
      <c r="M87" s="7">
        <f t="shared" si="19"/>
        <v>4.722403000142072</v>
      </c>
      <c r="N87" s="12"/>
      <c r="O87" s="7"/>
    </row>
    <row r="88" spans="1:17" ht="15" x14ac:dyDescent="0.35">
      <c r="C88" s="15">
        <f>SUM(C76:C87)</f>
        <v>24.675643718655603</v>
      </c>
      <c r="D88" s="15">
        <f t="shared" ref="D88" si="21">SUM(D76:D87)</f>
        <v>1.6140469692854229</v>
      </c>
      <c r="E88" s="15">
        <f t="shared" ref="E88" si="22">SUM(E76:E87)</f>
        <v>16.384429341564413</v>
      </c>
      <c r="F88" s="15">
        <f t="shared" ref="F88" si="23">SUM(F76:F87)</f>
        <v>0.59610971146850766</v>
      </c>
      <c r="G88" s="15">
        <f t="shared" ref="G88" si="24">SUM(G76:G87)</f>
        <v>1.284152649631602</v>
      </c>
      <c r="H88" s="15">
        <f t="shared" ref="H88" si="25">SUM(H76:H87)</f>
        <v>8.8424809137718956</v>
      </c>
      <c r="I88" s="15">
        <f t="shared" ref="I88" si="26">SUM(I76:I87)</f>
        <v>1.7090431248447677</v>
      </c>
      <c r="J88" s="15">
        <f t="shared" ref="J88" si="27">SUM(J76:J87)</f>
        <v>0.56246124305917822</v>
      </c>
      <c r="K88" s="15">
        <f t="shared" ref="K88" si="28">SUM(K76:K87)</f>
        <v>0.43358940212362207</v>
      </c>
      <c r="L88" s="15">
        <f t="shared" ref="L88" si="29">SUM(L76:L87)</f>
        <v>0.19098108101667186</v>
      </c>
      <c r="M88" s="8">
        <f>SUM(M76:M87)</f>
        <v>56.292938155421687</v>
      </c>
      <c r="N88" s="8"/>
      <c r="O88" s="8"/>
      <c r="P88" s="6"/>
      <c r="Q88" s="6"/>
    </row>
    <row r="89" spans="1:17" x14ac:dyDescent="0.2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1" spans="1:17" x14ac:dyDescent="0.2">
      <c r="A91" s="3" t="s">
        <v>58</v>
      </c>
    </row>
    <row r="92" spans="1:17" x14ac:dyDescent="0.2">
      <c r="A92" t="s">
        <v>37</v>
      </c>
      <c r="C92" s="2">
        <f>+C60-C76</f>
        <v>182.4290444055728</v>
      </c>
      <c r="D92" s="2">
        <f t="shared" ref="D92:L92" si="30">+D60-D76</f>
        <v>7.9206069285699572</v>
      </c>
      <c r="E92" s="2">
        <f t="shared" si="30"/>
        <v>129.3886482266993</v>
      </c>
      <c r="F92" s="2">
        <f t="shared" si="30"/>
        <v>4.6952942818924521</v>
      </c>
      <c r="G92" s="2">
        <f t="shared" si="30"/>
        <v>9.9915516440639589</v>
      </c>
      <c r="H92" s="2">
        <f t="shared" si="30"/>
        <v>62.945478314983632</v>
      </c>
      <c r="I92" s="2">
        <f t="shared" si="30"/>
        <v>13.627594453522111</v>
      </c>
      <c r="J92" s="2">
        <f t="shared" si="30"/>
        <v>4.6520595279155437</v>
      </c>
      <c r="K92" s="2">
        <f t="shared" si="30"/>
        <v>3.130196187928302</v>
      </c>
      <c r="L92" s="2">
        <f t="shared" si="30"/>
        <v>1.3835121272611282</v>
      </c>
      <c r="M92" s="6">
        <f t="shared" ref="M92:M103" si="31">SUM(C92:L92)</f>
        <v>420.16398609840923</v>
      </c>
      <c r="N92" s="2"/>
      <c r="O92" s="6"/>
    </row>
    <row r="93" spans="1:17" x14ac:dyDescent="0.2">
      <c r="A93" t="s">
        <v>7</v>
      </c>
      <c r="C93" s="2">
        <f t="shared" ref="C93:L103" si="32">+C61-C77</f>
        <v>196.05637379063407</v>
      </c>
      <c r="D93" s="2">
        <f t="shared" si="32"/>
        <v>8.4931985737475841</v>
      </c>
      <c r="E93" s="2">
        <f t="shared" si="32"/>
        <v>138.03391700324659</v>
      </c>
      <c r="F93" s="2">
        <f t="shared" si="32"/>
        <v>5.1538076797969818</v>
      </c>
      <c r="G93" s="2">
        <f t="shared" si="32"/>
        <v>10.748259436156658</v>
      </c>
      <c r="H93" s="2">
        <f t="shared" si="32"/>
        <v>66.122531724201693</v>
      </c>
      <c r="I93" s="2">
        <f t="shared" si="32"/>
        <v>14.675175765524182</v>
      </c>
      <c r="J93" s="2">
        <f t="shared" si="32"/>
        <v>4.9594058813134421</v>
      </c>
      <c r="K93" s="2">
        <f t="shared" si="32"/>
        <v>3.3393908939506018</v>
      </c>
      <c r="L93" s="2">
        <f t="shared" si="32"/>
        <v>1.5724945477335304</v>
      </c>
      <c r="M93" s="6">
        <f t="shared" si="31"/>
        <v>449.15455529630526</v>
      </c>
      <c r="N93" s="2"/>
      <c r="O93" s="6"/>
    </row>
    <row r="94" spans="1:17" x14ac:dyDescent="0.2">
      <c r="A94" t="s">
        <v>8</v>
      </c>
      <c r="C94" s="2">
        <f t="shared" si="32"/>
        <v>179.21174346860803</v>
      </c>
      <c r="D94" s="2">
        <f t="shared" si="32"/>
        <v>8.4250243855844698</v>
      </c>
      <c r="E94" s="2">
        <f t="shared" si="32"/>
        <v>122.96347087463857</v>
      </c>
      <c r="F94" s="2">
        <f t="shared" si="32"/>
        <v>4.6815386668731938</v>
      </c>
      <c r="G94" s="2">
        <f t="shared" si="32"/>
        <v>9.8517374741842225</v>
      </c>
      <c r="H94" s="2">
        <f t="shared" si="32"/>
        <v>60.122649421726571</v>
      </c>
      <c r="I94" s="2">
        <f t="shared" si="32"/>
        <v>13.372708307517556</v>
      </c>
      <c r="J94" s="2">
        <f t="shared" si="32"/>
        <v>4.5026541511772002</v>
      </c>
      <c r="K94" s="2">
        <f t="shared" si="32"/>
        <v>2.984317286245354</v>
      </c>
      <c r="L94" s="2">
        <f t="shared" si="32"/>
        <v>1.4703434582817021</v>
      </c>
      <c r="M94" s="6">
        <f t="shared" si="31"/>
        <v>407.58618749483685</v>
      </c>
      <c r="N94" s="2"/>
      <c r="O94" s="6"/>
    </row>
    <row r="95" spans="1:17" x14ac:dyDescent="0.2">
      <c r="A95" t="s">
        <v>9</v>
      </c>
      <c r="C95" s="2">
        <f t="shared" si="32"/>
        <v>179.00869176666524</v>
      </c>
      <c r="D95" s="2">
        <f t="shared" si="32"/>
        <v>11.038854752865477</v>
      </c>
      <c r="E95" s="2">
        <f t="shared" si="32"/>
        <v>128.13377978286505</v>
      </c>
      <c r="F95" s="2">
        <f t="shared" si="32"/>
        <v>5.0538281561633633</v>
      </c>
      <c r="G95" s="2">
        <f t="shared" si="32"/>
        <v>9.2289197557619875</v>
      </c>
      <c r="H95" s="2">
        <f t="shared" si="32"/>
        <v>63.951036564323239</v>
      </c>
      <c r="I95" s="2">
        <f t="shared" si="32"/>
        <v>14.051041257706789</v>
      </c>
      <c r="J95" s="2">
        <f t="shared" si="32"/>
        <v>4.1270015392891128</v>
      </c>
      <c r="K95" s="2">
        <f t="shared" si="32"/>
        <v>3.1520848621053497</v>
      </c>
      <c r="L95" s="2">
        <f t="shared" si="32"/>
        <v>2.1334499482765752</v>
      </c>
      <c r="M95" s="6">
        <f t="shared" si="31"/>
        <v>419.87868838602219</v>
      </c>
      <c r="N95" s="2"/>
      <c r="O95" s="6"/>
    </row>
    <row r="96" spans="1:17" x14ac:dyDescent="0.2">
      <c r="A96" t="s">
        <v>10</v>
      </c>
      <c r="C96" s="2">
        <f t="shared" si="32"/>
        <v>187.03152807556663</v>
      </c>
      <c r="D96" s="2">
        <f t="shared" si="32"/>
        <v>10.524792760946232</v>
      </c>
      <c r="E96" s="2">
        <f t="shared" si="32"/>
        <v>128.15099048404727</v>
      </c>
      <c r="F96" s="2">
        <f t="shared" si="32"/>
        <v>4.7468164126466883</v>
      </c>
      <c r="G96" s="2">
        <f t="shared" si="32"/>
        <v>10.385564415204074</v>
      </c>
      <c r="H96" s="2">
        <f t="shared" si="32"/>
        <v>66.16392042815599</v>
      </c>
      <c r="I96" s="2">
        <f t="shared" si="32"/>
        <v>14.096870006393464</v>
      </c>
      <c r="J96" s="2">
        <f t="shared" si="32"/>
        <v>4.8381850145399783</v>
      </c>
      <c r="K96" s="2">
        <f t="shared" si="32"/>
        <v>3.1935501804607416</v>
      </c>
      <c r="L96" s="2">
        <f t="shared" si="32"/>
        <v>1.9753021552168624</v>
      </c>
      <c r="M96" s="6">
        <f t="shared" si="31"/>
        <v>431.10751993317808</v>
      </c>
      <c r="N96" s="2"/>
      <c r="O96" s="6"/>
    </row>
    <row r="97" spans="1:15" x14ac:dyDescent="0.2">
      <c r="A97" t="s">
        <v>11</v>
      </c>
      <c r="C97" s="2">
        <f t="shared" si="32"/>
        <v>207.68526072401954</v>
      </c>
      <c r="D97" s="2">
        <f t="shared" si="32"/>
        <v>11.429227153148894</v>
      </c>
      <c r="E97" s="2">
        <f t="shared" si="32"/>
        <v>111.82050024675245</v>
      </c>
      <c r="F97" s="2">
        <f t="shared" si="32"/>
        <v>4.6655226007152839</v>
      </c>
      <c r="G97" s="2">
        <f t="shared" si="32"/>
        <v>12.050428020841894</v>
      </c>
      <c r="H97" s="2">
        <f t="shared" si="32"/>
        <v>70.912468281262832</v>
      </c>
      <c r="I97" s="2">
        <f t="shared" si="32"/>
        <v>14.574328049720462</v>
      </c>
      <c r="J97" s="2">
        <f t="shared" si="32"/>
        <v>4.0486657950341192</v>
      </c>
      <c r="K97" s="2">
        <f t="shared" si="32"/>
        <v>3.7619577022527335</v>
      </c>
      <c r="L97" s="2">
        <f t="shared" si="32"/>
        <v>1.7636891768067084</v>
      </c>
      <c r="M97" s="6">
        <f t="shared" si="31"/>
        <v>442.71204775055497</v>
      </c>
      <c r="N97" s="2"/>
      <c r="O97" s="6"/>
    </row>
    <row r="98" spans="1:15" x14ac:dyDescent="0.2">
      <c r="A98" t="s">
        <v>12</v>
      </c>
      <c r="C98" s="2">
        <f t="shared" si="32"/>
        <v>252.70199136500369</v>
      </c>
      <c r="D98" s="2">
        <f t="shared" si="32"/>
        <v>15.964809148428589</v>
      </c>
      <c r="E98" s="2">
        <f t="shared" si="32"/>
        <v>120.38600210040454</v>
      </c>
      <c r="F98" s="2">
        <f t="shared" si="32"/>
        <v>4.9988172907374766</v>
      </c>
      <c r="G98" s="2">
        <f t="shared" si="32"/>
        <v>9.5439897313556692</v>
      </c>
      <c r="H98" s="2">
        <f t="shared" si="32"/>
        <v>89.023439866196455</v>
      </c>
      <c r="I98" s="2">
        <f t="shared" si="32"/>
        <v>12.955050046675657</v>
      </c>
      <c r="J98" s="2">
        <f t="shared" si="32"/>
        <v>4.1482331967638224</v>
      </c>
      <c r="K98" s="2">
        <f t="shared" si="32"/>
        <v>3.1231703142827514</v>
      </c>
      <c r="L98" s="2">
        <f t="shared" si="32"/>
        <v>1.9890581889845449</v>
      </c>
      <c r="M98" s="6">
        <f t="shared" si="31"/>
        <v>514.83456124883321</v>
      </c>
      <c r="N98" s="2"/>
      <c r="O98" s="6"/>
    </row>
    <row r="99" spans="1:15" x14ac:dyDescent="0.2">
      <c r="A99" t="s">
        <v>38</v>
      </c>
      <c r="C99" s="2">
        <f t="shared" si="32"/>
        <v>208.06020449226827</v>
      </c>
      <c r="D99" s="2">
        <f t="shared" si="32"/>
        <v>16.510156889316132</v>
      </c>
      <c r="E99" s="2">
        <f t="shared" si="32"/>
        <v>127.53018311523195</v>
      </c>
      <c r="F99" s="2">
        <f t="shared" si="32"/>
        <v>3.9500691898205575</v>
      </c>
      <c r="G99" s="2">
        <f t="shared" si="32"/>
        <v>10.887732055734723</v>
      </c>
      <c r="H99" s="2">
        <f t="shared" si="32"/>
        <v>68.270435082278993</v>
      </c>
      <c r="I99" s="2">
        <f t="shared" si="32"/>
        <v>11.497445050855866</v>
      </c>
      <c r="J99" s="2">
        <f t="shared" si="32"/>
        <v>4.0023303036880842</v>
      </c>
      <c r="K99" s="2">
        <f t="shared" si="32"/>
        <v>3.3447112875217071</v>
      </c>
      <c r="L99" s="2">
        <f t="shared" si="32"/>
        <v>1.4676662811130408</v>
      </c>
      <c r="M99" s="6">
        <f t="shared" si="31"/>
        <v>455.52093374782936</v>
      </c>
      <c r="N99" s="2"/>
      <c r="O99" s="6"/>
    </row>
    <row r="100" spans="1:15" x14ac:dyDescent="0.2">
      <c r="A100" t="s">
        <v>15</v>
      </c>
      <c r="C100" s="2">
        <f t="shared" si="32"/>
        <v>170.12845236379397</v>
      </c>
      <c r="D100" s="2">
        <f t="shared" si="32"/>
        <v>23.201704352402174</v>
      </c>
      <c r="E100" s="2">
        <f t="shared" si="32"/>
        <v>119.2541534382739</v>
      </c>
      <c r="F100" s="2">
        <f t="shared" si="32"/>
        <v>4.2493009094848926</v>
      </c>
      <c r="G100" s="2">
        <f t="shared" si="32"/>
        <v>9.9932434476638594</v>
      </c>
      <c r="H100" s="2">
        <f t="shared" si="32"/>
        <v>64.399936687510319</v>
      </c>
      <c r="I100" s="2">
        <f t="shared" si="32"/>
        <v>12.117893902406307</v>
      </c>
      <c r="J100" s="2">
        <f t="shared" si="32"/>
        <v>4.3883373400610859</v>
      </c>
      <c r="K100" s="2">
        <f t="shared" si="32"/>
        <v>2.9849383689326401</v>
      </c>
      <c r="L100" s="2">
        <f t="shared" si="32"/>
        <v>4.3448884555060262E-2</v>
      </c>
      <c r="M100" s="6">
        <f t="shared" si="31"/>
        <v>410.76140969508418</v>
      </c>
      <c r="N100" s="2"/>
      <c r="O100" s="6"/>
    </row>
    <row r="101" spans="1:15" x14ac:dyDescent="0.2">
      <c r="A101" t="s">
        <v>13</v>
      </c>
      <c r="C101" s="2">
        <f t="shared" si="32"/>
        <v>198.98240227474841</v>
      </c>
      <c r="D101" s="2">
        <f t="shared" si="32"/>
        <v>15.090199476316931</v>
      </c>
      <c r="E101" s="2">
        <f t="shared" si="32"/>
        <v>136.23435572253447</v>
      </c>
      <c r="F101" s="2">
        <f t="shared" si="32"/>
        <v>4.6089581541406801</v>
      </c>
      <c r="G101" s="2">
        <f t="shared" si="32"/>
        <v>10.228576319397273</v>
      </c>
      <c r="H101" s="2">
        <f t="shared" si="32"/>
        <v>79.105927335577121</v>
      </c>
      <c r="I101" s="2">
        <f t="shared" si="32"/>
        <v>12.406722895078124</v>
      </c>
      <c r="J101" s="2">
        <f t="shared" si="32"/>
        <v>4.4564878938430201</v>
      </c>
      <c r="K101" s="2">
        <f t="shared" si="32"/>
        <v>3.0406926196504673</v>
      </c>
      <c r="L101" s="2">
        <f t="shared" si="32"/>
        <v>1.672816570122893</v>
      </c>
      <c r="M101" s="6">
        <f t="shared" si="31"/>
        <v>465.82713926140946</v>
      </c>
      <c r="N101" s="2"/>
      <c r="O101" s="6"/>
    </row>
    <row r="102" spans="1:15" x14ac:dyDescent="0.2">
      <c r="A102" t="s">
        <v>14</v>
      </c>
      <c r="C102" s="2">
        <f t="shared" si="32"/>
        <v>184.54124299743808</v>
      </c>
      <c r="D102" s="2">
        <f t="shared" si="32"/>
        <v>15.81869118274979</v>
      </c>
      <c r="E102" s="2">
        <f t="shared" si="32"/>
        <v>133.28607250213491</v>
      </c>
      <c r="F102" s="2">
        <f t="shared" si="32"/>
        <v>4.7129690649017935</v>
      </c>
      <c r="G102" s="2">
        <f t="shared" si="32"/>
        <v>9.1822388983774559</v>
      </c>
      <c r="H102" s="2">
        <f t="shared" si="32"/>
        <v>70.729350149444926</v>
      </c>
      <c r="I102" s="2">
        <f t="shared" si="32"/>
        <v>13.847338471391975</v>
      </c>
      <c r="J102" s="2">
        <f t="shared" si="32"/>
        <v>4.6650995730145173</v>
      </c>
      <c r="K102" s="2">
        <f t="shared" si="32"/>
        <v>3.846966438941076</v>
      </c>
      <c r="L102" s="2">
        <f t="shared" si="32"/>
        <v>1.7320052519214348</v>
      </c>
      <c r="M102" s="6">
        <f t="shared" si="31"/>
        <v>442.36197453031599</v>
      </c>
      <c r="N102" s="2"/>
      <c r="O102" s="6"/>
    </row>
    <row r="103" spans="1:15" ht="15" x14ac:dyDescent="0.35">
      <c r="A103" t="s">
        <v>2</v>
      </c>
      <c r="C103" s="12">
        <f t="shared" si="32"/>
        <v>179.54872709565461</v>
      </c>
      <c r="D103" s="12">
        <f t="shared" si="32"/>
        <v>7.6874464062024312</v>
      </c>
      <c r="E103" s="12">
        <f t="shared" si="32"/>
        <v>148.85533921535995</v>
      </c>
      <c r="F103" s="12">
        <f t="shared" si="32"/>
        <v>4.6593213545493288</v>
      </c>
      <c r="G103" s="12">
        <f t="shared" si="32"/>
        <v>8.9238584974934554</v>
      </c>
      <c r="H103" s="12">
        <f t="shared" si="32"/>
        <v>71.551384637413477</v>
      </c>
      <c r="I103" s="12">
        <f t="shared" si="32"/>
        <v>13.834800558340605</v>
      </c>
      <c r="J103" s="12">
        <f t="shared" si="32"/>
        <v>4.2168159745083305</v>
      </c>
      <c r="K103" s="12">
        <f t="shared" si="32"/>
        <v>4.9586632292829442</v>
      </c>
      <c r="L103" s="12">
        <f t="shared" si="32"/>
        <v>0.79390671125002532</v>
      </c>
      <c r="M103" s="7">
        <f t="shared" si="31"/>
        <v>445.03026368005521</v>
      </c>
      <c r="N103" s="12"/>
      <c r="O103" s="7"/>
    </row>
    <row r="104" spans="1:15" ht="15" x14ac:dyDescent="0.35">
      <c r="C104" s="15">
        <f>SUM(C92:C103)</f>
        <v>2325.3856628199733</v>
      </c>
      <c r="D104" s="15">
        <f t="shared" ref="D104" si="33">SUM(D92:D103)</f>
        <v>152.10471201027869</v>
      </c>
      <c r="E104" s="15">
        <f t="shared" ref="E104" si="34">SUM(E92:E103)</f>
        <v>1544.0374127121888</v>
      </c>
      <c r="F104" s="15">
        <f t="shared" ref="F104" si="35">SUM(F92:F103)</f>
        <v>56.176243761722695</v>
      </c>
      <c r="G104" s="15">
        <f t="shared" ref="G104" si="36">SUM(G92:G103)</f>
        <v>121.01609969623522</v>
      </c>
      <c r="H104" s="15">
        <f t="shared" ref="H104" si="37">SUM(H92:H103)</f>
        <v>833.29855849307512</v>
      </c>
      <c r="I104" s="15">
        <f t="shared" ref="I104" si="38">SUM(I92:I103)</f>
        <v>161.05696876513309</v>
      </c>
      <c r="J104" s="15">
        <f t="shared" ref="J104" si="39">SUM(J92:J103)</f>
        <v>53.005276191148248</v>
      </c>
      <c r="K104" s="15">
        <f t="shared" ref="K104" si="40">SUM(K92:K103)</f>
        <v>40.860639371554669</v>
      </c>
      <c r="L104" s="15">
        <f t="shared" ref="L104" si="41">SUM(L92:L103)</f>
        <v>17.997693301523505</v>
      </c>
      <c r="M104" s="8">
        <f>SUM(M92:M103)</f>
        <v>5304.9392671228343</v>
      </c>
      <c r="N104" s="8"/>
      <c r="O104" s="8"/>
    </row>
    <row r="105" spans="1:15" x14ac:dyDescent="0.2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1:15" x14ac:dyDescent="0.2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</row>
    <row r="107" spans="1:15" x14ac:dyDescent="0.2">
      <c r="C107" s="143" t="s">
        <v>41</v>
      </c>
      <c r="D107" s="143"/>
      <c r="E107" s="143"/>
      <c r="F107" s="143"/>
      <c r="G107" s="143"/>
      <c r="H107" s="143"/>
      <c r="I107" s="143"/>
      <c r="J107" s="143"/>
      <c r="K107" s="143"/>
      <c r="L107" s="143"/>
    </row>
    <row r="108" spans="1:15" x14ac:dyDescent="0.2">
      <c r="C108" s="24" t="s">
        <v>42</v>
      </c>
      <c r="D108" s="24" t="s">
        <v>43</v>
      </c>
      <c r="E108" s="24"/>
      <c r="F108" s="24" t="s">
        <v>44</v>
      </c>
      <c r="G108" s="24" t="s">
        <v>45</v>
      </c>
      <c r="H108" s="24"/>
      <c r="I108" s="24"/>
      <c r="J108" s="24" t="s">
        <v>0</v>
      </c>
      <c r="K108" s="24" t="s">
        <v>0</v>
      </c>
      <c r="L108" s="24" t="s">
        <v>46</v>
      </c>
    </row>
    <row r="109" spans="1:15" x14ac:dyDescent="0.2">
      <c r="C109" s="25" t="s">
        <v>47</v>
      </c>
      <c r="D109" s="25" t="s">
        <v>48</v>
      </c>
      <c r="E109" s="25" t="s">
        <v>24</v>
      </c>
      <c r="F109" s="25" t="s">
        <v>22</v>
      </c>
      <c r="G109" s="25" t="s">
        <v>23</v>
      </c>
      <c r="H109" s="25" t="s">
        <v>16</v>
      </c>
      <c r="I109" s="25" t="s">
        <v>1</v>
      </c>
      <c r="J109" s="25" t="s">
        <v>49</v>
      </c>
      <c r="K109" s="25" t="s">
        <v>50</v>
      </c>
      <c r="L109" s="25" t="s">
        <v>51</v>
      </c>
      <c r="M109" s="31" t="s">
        <v>3</v>
      </c>
    </row>
    <row r="110" spans="1:15" x14ac:dyDescent="0.2">
      <c r="A110" s="3" t="s">
        <v>59</v>
      </c>
    </row>
    <row r="111" spans="1:15" x14ac:dyDescent="0.2">
      <c r="A111" t="s">
        <v>37</v>
      </c>
      <c r="C111" s="9">
        <f t="shared" ref="C111:L111" si="42">+C76*C42</f>
        <v>150.45280038161874</v>
      </c>
      <c r="D111" s="9">
        <f t="shared" si="42"/>
        <v>3.3619554421418716</v>
      </c>
      <c r="E111" s="9">
        <f t="shared" si="42"/>
        <v>134.82833267968638</v>
      </c>
      <c r="F111" s="9">
        <f t="shared" si="42"/>
        <v>52.930249362171494</v>
      </c>
      <c r="G111" s="9">
        <f t="shared" si="42"/>
        <v>12.034846674821477</v>
      </c>
      <c r="H111" s="9">
        <f t="shared" si="42"/>
        <v>-35.627967700730558</v>
      </c>
      <c r="I111" s="9">
        <f t="shared" si="42"/>
        <v>28.447310762422568</v>
      </c>
      <c r="J111" s="9">
        <f t="shared" si="42"/>
        <v>34.555469964809753</v>
      </c>
      <c r="K111" s="9">
        <f t="shared" si="42"/>
        <v>18.600862642767478</v>
      </c>
      <c r="L111" s="9">
        <f t="shared" si="42"/>
        <v>-0.5900305206099643</v>
      </c>
      <c r="M111" s="9">
        <f t="shared" ref="M111:M122" si="43">SUM(C111:L111)</f>
        <v>398.99382968909919</v>
      </c>
    </row>
    <row r="112" spans="1:15" x14ac:dyDescent="0.2">
      <c r="A112" t="s">
        <v>7</v>
      </c>
      <c r="C112" s="9">
        <f t="shared" ref="C112:L112" si="44">+C77*C43</f>
        <v>173.13392620716925</v>
      </c>
      <c r="D112" s="9">
        <f t="shared" si="44"/>
        <v>4.0556203396621875</v>
      </c>
      <c r="E112" s="9">
        <f t="shared" si="44"/>
        <v>160.24210253828136</v>
      </c>
      <c r="F112" s="9">
        <f t="shared" si="44"/>
        <v>56.087073818061882</v>
      </c>
      <c r="G112" s="9">
        <f t="shared" si="44"/>
        <v>13.924888775021575</v>
      </c>
      <c r="H112" s="9">
        <f t="shared" si="44"/>
        <v>-37.426221670311925</v>
      </c>
      <c r="I112" s="9">
        <f t="shared" si="44"/>
        <v>29.743370386820366</v>
      </c>
      <c r="J112" s="9">
        <f t="shared" si="44"/>
        <v>36.838436814202936</v>
      </c>
      <c r="K112" s="9">
        <f t="shared" si="44"/>
        <v>15.591698767106399</v>
      </c>
      <c r="L112" s="9">
        <f t="shared" si="44"/>
        <v>-9.5112479718900259E-2</v>
      </c>
      <c r="M112" s="9">
        <f t="shared" si="43"/>
        <v>452.0957834962951</v>
      </c>
    </row>
    <row r="113" spans="1:13" x14ac:dyDescent="0.2">
      <c r="A113" t="s">
        <v>8</v>
      </c>
      <c r="C113" s="9">
        <f t="shared" ref="C113:L113" si="45">+C78*C44</f>
        <v>144.94689278965305</v>
      </c>
      <c r="D113" s="9">
        <f t="shared" si="45"/>
        <v>3.1290515024783154</v>
      </c>
      <c r="E113" s="9">
        <f t="shared" si="45"/>
        <v>135.72706672459728</v>
      </c>
      <c r="F113" s="9">
        <f t="shared" si="45"/>
        <v>48.80145670570014</v>
      </c>
      <c r="G113" s="9">
        <f t="shared" si="45"/>
        <v>6.9362902524783152</v>
      </c>
      <c r="H113" s="9">
        <f t="shared" si="45"/>
        <v>-34.030209460966553</v>
      </c>
      <c r="I113" s="9">
        <f t="shared" si="45"/>
        <v>20.642690968866173</v>
      </c>
      <c r="J113" s="9">
        <f t="shared" si="45"/>
        <v>28.66773234200744</v>
      </c>
      <c r="K113" s="9">
        <f t="shared" si="45"/>
        <v>11.400423791821565</v>
      </c>
      <c r="L113" s="9">
        <f t="shared" si="45"/>
        <v>-0.46807295539033472</v>
      </c>
      <c r="M113" s="9">
        <f t="shared" si="43"/>
        <v>365.75332266124548</v>
      </c>
    </row>
    <row r="114" spans="1:13" x14ac:dyDescent="0.2">
      <c r="A114" t="s">
        <v>9</v>
      </c>
      <c r="C114" s="9">
        <f t="shared" ref="C114:L114" si="46">+C79*C45</f>
        <v>153.90043878000989</v>
      </c>
      <c r="D114" s="9">
        <f t="shared" si="46"/>
        <v>4.0998273084164358</v>
      </c>
      <c r="E114" s="9">
        <f t="shared" si="46"/>
        <v>143.52796244136633</v>
      </c>
      <c r="F114" s="9">
        <f t="shared" si="46"/>
        <v>56.523147953862704</v>
      </c>
      <c r="G114" s="9">
        <f t="shared" si="46"/>
        <v>9.3681696516220452</v>
      </c>
      <c r="H114" s="9">
        <f t="shared" si="46"/>
        <v>-36.197126880829224</v>
      </c>
      <c r="I114" s="9">
        <f t="shared" si="46"/>
        <v>18.370795684994</v>
      </c>
      <c r="J114" s="9">
        <f t="shared" si="46"/>
        <v>18.694503667976992</v>
      </c>
      <c r="K114" s="9">
        <f t="shared" si="46"/>
        <v>9.3654668970083179</v>
      </c>
      <c r="L114" s="9">
        <f t="shared" si="46"/>
        <v>-1.3250567634791244</v>
      </c>
      <c r="M114" s="9">
        <f t="shared" si="43"/>
        <v>376.32812874094839</v>
      </c>
    </row>
    <row r="115" spans="1:13" x14ac:dyDescent="0.2">
      <c r="A115" t="s">
        <v>10</v>
      </c>
      <c r="C115" s="9">
        <f t="shared" ref="C115:L115" si="47">+C80*C46</f>
        <v>161.63153136733558</v>
      </c>
      <c r="D115" s="9">
        <f t="shared" si="47"/>
        <v>3.908904840472704</v>
      </c>
      <c r="E115" s="9">
        <f t="shared" si="47"/>
        <v>142.4729483240456</v>
      </c>
      <c r="F115" s="9">
        <f t="shared" si="47"/>
        <v>53.258704487470858</v>
      </c>
      <c r="G115" s="9">
        <f t="shared" si="47"/>
        <v>8.4086861356652296</v>
      </c>
      <c r="H115" s="9">
        <f t="shared" si="47"/>
        <v>-37.449648220512714</v>
      </c>
      <c r="I115" s="9">
        <f t="shared" si="47"/>
        <v>18.100124651968567</v>
      </c>
      <c r="J115" s="9">
        <f t="shared" si="47"/>
        <v>26.696806649204937</v>
      </c>
      <c r="K115" s="9">
        <f t="shared" si="47"/>
        <v>13.555240786190112</v>
      </c>
      <c r="L115" s="9">
        <f t="shared" si="47"/>
        <v>-1.2356368383277994</v>
      </c>
      <c r="M115" s="9">
        <f t="shared" si="43"/>
        <v>389.34766218351302</v>
      </c>
    </row>
    <row r="116" spans="1:13" x14ac:dyDescent="0.2">
      <c r="A116" t="s">
        <v>11</v>
      </c>
      <c r="C116" s="9">
        <f t="shared" ref="C116:L116" si="48">+C81*C47</f>
        <v>172.07547665687738</v>
      </c>
      <c r="D116" s="9">
        <f t="shared" si="48"/>
        <v>3.6384098567376468</v>
      </c>
      <c r="E116" s="9">
        <f t="shared" si="48"/>
        <v>114.3857608385678</v>
      </c>
      <c r="F116" s="9">
        <f t="shared" si="48"/>
        <v>48.87659471383499</v>
      </c>
      <c r="G116" s="9">
        <f t="shared" si="48"/>
        <v>8.9344272471655835</v>
      </c>
      <c r="H116" s="9">
        <f t="shared" si="48"/>
        <v>-40.137388691548132</v>
      </c>
      <c r="I116" s="9">
        <f t="shared" si="48"/>
        <v>17.475937575536463</v>
      </c>
      <c r="J116" s="9">
        <f t="shared" si="48"/>
        <v>22.340288267697112</v>
      </c>
      <c r="K116" s="9">
        <f t="shared" si="48"/>
        <v>17.96387078640138</v>
      </c>
      <c r="L116" s="9">
        <f t="shared" si="48"/>
        <v>-1.2584131709035598</v>
      </c>
      <c r="M116" s="9">
        <f t="shared" si="43"/>
        <v>364.2949640803667</v>
      </c>
    </row>
    <row r="117" spans="1:13" x14ac:dyDescent="0.2">
      <c r="A117" t="s">
        <v>12</v>
      </c>
      <c r="C117" s="9">
        <f t="shared" ref="C117:L117" si="49">+C82*C48</f>
        <v>198.8888533048958</v>
      </c>
      <c r="D117" s="9">
        <f t="shared" si="49"/>
        <v>4.2352323410434618</v>
      </c>
      <c r="E117" s="9">
        <f t="shared" si="49"/>
        <v>128.97300970853647</v>
      </c>
      <c r="F117" s="9">
        <f t="shared" si="49"/>
        <v>56.173116839539489</v>
      </c>
      <c r="G117" s="9">
        <f t="shared" si="49"/>
        <v>6.5970719116274257</v>
      </c>
      <c r="H117" s="9">
        <f t="shared" si="49"/>
        <v>-50.388436549631791</v>
      </c>
      <c r="I117" s="9">
        <f t="shared" si="49"/>
        <v>15.259333834664456</v>
      </c>
      <c r="J117" s="9">
        <f t="shared" si="49"/>
        <v>22.009322165750447</v>
      </c>
      <c r="K117" s="9">
        <f t="shared" si="49"/>
        <v>14.913572243543205</v>
      </c>
      <c r="L117" s="9">
        <f t="shared" si="49"/>
        <v>-1.3719375583445701</v>
      </c>
      <c r="M117" s="9">
        <f t="shared" si="43"/>
        <v>395.28913824162447</v>
      </c>
    </row>
    <row r="118" spans="1:13" x14ac:dyDescent="0.2">
      <c r="A118" t="s">
        <v>38</v>
      </c>
      <c r="C118" s="9">
        <f t="shared" ref="C118:L118" si="50">+C83*C49</f>
        <v>155.0327128592161</v>
      </c>
      <c r="D118" s="9">
        <f t="shared" si="50"/>
        <v>3.5039241503349046</v>
      </c>
      <c r="E118" s="9">
        <f t="shared" si="50"/>
        <v>135.38176346427687</v>
      </c>
      <c r="F118" s="9">
        <f t="shared" si="50"/>
        <v>45.016776896489709</v>
      </c>
      <c r="G118" s="9">
        <f t="shared" si="50"/>
        <v>7.4750689965269173</v>
      </c>
      <c r="H118" s="9">
        <f t="shared" si="50"/>
        <v>-38.64196319002729</v>
      </c>
      <c r="I118" s="9">
        <f t="shared" si="50"/>
        <v>10.370358471843215</v>
      </c>
      <c r="J118" s="9">
        <f t="shared" si="50"/>
        <v>19.536387434879686</v>
      </c>
      <c r="K118" s="9">
        <f t="shared" si="50"/>
        <v>15.687524088315557</v>
      </c>
      <c r="L118" s="9">
        <f t="shared" si="50"/>
        <v>-1.0682222509613002</v>
      </c>
      <c r="M118" s="9">
        <f t="shared" si="43"/>
        <v>352.29433092089442</v>
      </c>
    </row>
    <row r="119" spans="1:13" x14ac:dyDescent="0.2">
      <c r="A119" t="s">
        <v>15</v>
      </c>
      <c r="C119" s="9">
        <f t="shared" ref="C119:L119" si="51">+C84*C50</f>
        <v>139.49587458168648</v>
      </c>
      <c r="D119" s="9">
        <f t="shared" si="51"/>
        <v>4.924060549777117</v>
      </c>
      <c r="E119" s="9">
        <f t="shared" si="51"/>
        <v>127.65919099338781</v>
      </c>
      <c r="F119" s="9">
        <f t="shared" si="51"/>
        <v>52.5104085415676</v>
      </c>
      <c r="G119" s="9">
        <f t="shared" si="51"/>
        <v>7.3137513958023765</v>
      </c>
      <c r="H119" s="9">
        <f t="shared" si="51"/>
        <v>-36.451210248179791</v>
      </c>
      <c r="I119" s="9">
        <f t="shared" si="51"/>
        <v>10.877264047142768</v>
      </c>
      <c r="J119" s="9">
        <f t="shared" si="51"/>
        <v>21.115574989320208</v>
      </c>
      <c r="K119" s="9">
        <f t="shared" si="51"/>
        <v>11.719540741084696</v>
      </c>
      <c r="L119" s="9">
        <f t="shared" si="51"/>
        <v>-3.2273805101535422E-2</v>
      </c>
      <c r="M119" s="9">
        <f t="shared" si="43"/>
        <v>339.13218178648776</v>
      </c>
    </row>
    <row r="120" spans="1:13" x14ac:dyDescent="0.2">
      <c r="A120" t="s">
        <v>13</v>
      </c>
      <c r="C120" s="9">
        <f t="shared" ref="C120:L120" si="52">+C85*C51</f>
        <v>165.68829269150564</v>
      </c>
      <c r="D120" s="9">
        <f t="shared" si="52"/>
        <v>4.1633395220156872</v>
      </c>
      <c r="E120" s="9">
        <f t="shared" si="52"/>
        <v>154.29315235552713</v>
      </c>
      <c r="F120" s="9">
        <f t="shared" si="52"/>
        <v>50.890304028246796</v>
      </c>
      <c r="G120" s="9">
        <f t="shared" si="52"/>
        <v>7.5076923215092961</v>
      </c>
      <c r="H120" s="9">
        <f t="shared" si="52"/>
        <v>-44.774994161532781</v>
      </c>
      <c r="I120" s="9">
        <f t="shared" si="52"/>
        <v>16.061659452850002</v>
      </c>
      <c r="J120" s="9">
        <f t="shared" si="52"/>
        <v>20.807452318903241</v>
      </c>
      <c r="K120" s="9">
        <f t="shared" si="52"/>
        <v>9.6798198604335255</v>
      </c>
      <c r="L120" s="9">
        <f t="shared" si="52"/>
        <v>-1.2425671339467674</v>
      </c>
      <c r="M120" s="9">
        <f t="shared" si="43"/>
        <v>383.07415125551177</v>
      </c>
    </row>
    <row r="121" spans="1:13" x14ac:dyDescent="0.2">
      <c r="A121" t="s">
        <v>14</v>
      </c>
      <c r="C121" s="9">
        <f t="shared" ref="C121:L121" si="53">+C86*C52</f>
        <v>163.39593109137491</v>
      </c>
      <c r="D121" s="9">
        <f t="shared" si="53"/>
        <v>6.0429158838599504</v>
      </c>
      <c r="E121" s="9">
        <f t="shared" si="53"/>
        <v>150.54389120751495</v>
      </c>
      <c r="F121" s="9">
        <f t="shared" si="53"/>
        <v>55.551544889410764</v>
      </c>
      <c r="G121" s="9">
        <f t="shared" si="53"/>
        <v>8.4799066588386012</v>
      </c>
      <c r="H121" s="9">
        <f t="shared" si="53"/>
        <v>-40.033741423142622</v>
      </c>
      <c r="I121" s="9">
        <f t="shared" si="53"/>
        <v>20.718529163108457</v>
      </c>
      <c r="J121" s="9">
        <f t="shared" si="53"/>
        <v>25.741731853116995</v>
      </c>
      <c r="K121" s="9">
        <f t="shared" si="53"/>
        <v>16.328710503842871</v>
      </c>
      <c r="L121" s="9">
        <f t="shared" si="53"/>
        <v>-0.58629121690862518</v>
      </c>
      <c r="M121" s="9">
        <f t="shared" si="43"/>
        <v>406.18312861101629</v>
      </c>
    </row>
    <row r="122" spans="1:13" ht="15" x14ac:dyDescent="0.35">
      <c r="A122" t="s">
        <v>2</v>
      </c>
      <c r="C122" s="10">
        <f t="shared" ref="C122:L122" si="54">+C87*C53</f>
        <v>158.84210456657871</v>
      </c>
      <c r="D122" s="10">
        <f t="shared" si="54"/>
        <v>3.5892877611576788</v>
      </c>
      <c r="E122" s="10">
        <f t="shared" si="54"/>
        <v>166.50210583148709</v>
      </c>
      <c r="F122" s="10">
        <f t="shared" si="54"/>
        <v>53.103691043664625</v>
      </c>
      <c r="G122" s="10">
        <f t="shared" si="54"/>
        <v>11.731739976929635</v>
      </c>
      <c r="H122" s="10">
        <f t="shared" si="54"/>
        <v>-40.499023743179556</v>
      </c>
      <c r="I122" s="10">
        <f t="shared" si="54"/>
        <v>23.929521127438047</v>
      </c>
      <c r="J122" s="10">
        <f t="shared" si="54"/>
        <v>27.971425219971177</v>
      </c>
      <c r="K122" s="10">
        <f t="shared" si="54"/>
        <v>24.73067512532727</v>
      </c>
      <c r="L122" s="10">
        <f t="shared" si="54"/>
        <v>-0.36949758234661367</v>
      </c>
      <c r="M122" s="10">
        <f t="shared" si="43"/>
        <v>429.53202932702806</v>
      </c>
    </row>
    <row r="123" spans="1:13" ht="15" x14ac:dyDescent="0.35">
      <c r="C123" s="11">
        <f>SUM(C111:C122)</f>
        <v>1937.4848352779215</v>
      </c>
      <c r="D123" s="11">
        <f t="shared" ref="D123" si="55">SUM(D111:D122)</f>
        <v>48.652529498097955</v>
      </c>
      <c r="E123" s="11">
        <f t="shared" ref="E123" si="56">SUM(E111:E122)</f>
        <v>1694.5372871072748</v>
      </c>
      <c r="F123" s="11">
        <f t="shared" ref="F123" si="57">SUM(F111:F122)</f>
        <v>629.72306928002104</v>
      </c>
      <c r="G123" s="11">
        <f t="shared" ref="G123" si="58">SUM(G111:G122)</f>
        <v>108.71253999800847</v>
      </c>
      <c r="H123" s="11">
        <f t="shared" ref="H123" si="59">SUM(H111:H122)</f>
        <v>-471.65793194059296</v>
      </c>
      <c r="I123" s="11">
        <f t="shared" ref="I123" si="60">SUM(I111:I122)</f>
        <v>229.99689612765511</v>
      </c>
      <c r="J123" s="11">
        <f t="shared" ref="J123" si="61">SUM(J111:J122)</f>
        <v>304.97513168784099</v>
      </c>
      <c r="K123" s="11">
        <f t="shared" ref="K123" si="62">SUM(K111:K122)</f>
        <v>179.53740623384238</v>
      </c>
      <c r="L123" s="11">
        <f t="shared" ref="L123" si="63">SUM(L111:L122)</f>
        <v>-9.6431122760390959</v>
      </c>
      <c r="M123" s="11">
        <f>SUM(M111:M122)</f>
        <v>4652.3186509940306</v>
      </c>
    </row>
    <row r="124" spans="1:13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3" x14ac:dyDescent="0.2">
      <c r="A126" s="3" t="s">
        <v>60</v>
      </c>
    </row>
    <row r="127" spans="1:13" x14ac:dyDescent="0.2">
      <c r="A127" t="s">
        <v>37</v>
      </c>
      <c r="C127" s="9">
        <f t="shared" ref="C127:L127" si="64">+C92*C42</f>
        <v>14178.385331201118</v>
      </c>
      <c r="D127" s="9">
        <f t="shared" si="64"/>
        <v>316.82427714279828</v>
      </c>
      <c r="E127" s="9">
        <f t="shared" si="64"/>
        <v>12705.965255861873</v>
      </c>
      <c r="F127" s="9">
        <f t="shared" si="64"/>
        <v>4988.045880368446</v>
      </c>
      <c r="G127" s="9">
        <f t="shared" si="64"/>
        <v>1134.1410271177001</v>
      </c>
      <c r="H127" s="9">
        <f t="shared" si="64"/>
        <v>-3357.5118133212272</v>
      </c>
      <c r="I127" s="9">
        <f t="shared" si="64"/>
        <v>2680.8203808968697</v>
      </c>
      <c r="J127" s="9">
        <f t="shared" si="64"/>
        <v>3256.4416695408804</v>
      </c>
      <c r="K127" s="9">
        <f t="shared" si="64"/>
        <v>1752.9098652398491</v>
      </c>
      <c r="L127" s="9">
        <f t="shared" si="64"/>
        <v>-55.603352394624736</v>
      </c>
      <c r="M127" s="9">
        <f t="shared" ref="M127:M138" si="65">SUM(C127:L127)</f>
        <v>37600.418521653679</v>
      </c>
    </row>
    <row r="128" spans="1:13" x14ac:dyDescent="0.2">
      <c r="A128" t="s">
        <v>7</v>
      </c>
      <c r="C128" s="9">
        <f t="shared" ref="C128:L128" si="66">+C93*C43</f>
        <v>16315.811426856568</v>
      </c>
      <c r="D128" s="9">
        <f t="shared" si="66"/>
        <v>382.19393581864131</v>
      </c>
      <c r="E128" s="9">
        <f t="shared" si="66"/>
        <v>15100.910520155177</v>
      </c>
      <c r="F128" s="9">
        <f t="shared" si="66"/>
        <v>5285.5390040925922</v>
      </c>
      <c r="G128" s="9">
        <f t="shared" si="66"/>
        <v>1312.2549945603664</v>
      </c>
      <c r="H128" s="9">
        <f t="shared" si="66"/>
        <v>-3526.9758421689185</v>
      </c>
      <c r="I128" s="9">
        <f t="shared" si="66"/>
        <v>2802.9585712151188</v>
      </c>
      <c r="J128" s="9">
        <f t="shared" si="66"/>
        <v>3471.5841169194096</v>
      </c>
      <c r="K128" s="9">
        <f t="shared" si="66"/>
        <v>1469.3319933382647</v>
      </c>
      <c r="L128" s="9">
        <f t="shared" si="66"/>
        <v>-8.9632189220811238</v>
      </c>
      <c r="M128" s="9">
        <f t="shared" si="65"/>
        <v>42604.64550186514</v>
      </c>
    </row>
    <row r="129" spans="1:14" x14ac:dyDescent="0.2">
      <c r="A129" t="s">
        <v>8</v>
      </c>
      <c r="C129" s="9">
        <f t="shared" ref="C129:L129" si="67">+C94*C44</f>
        <v>13659.519087177305</v>
      </c>
      <c r="D129" s="9">
        <f t="shared" si="67"/>
        <v>294.87585349545645</v>
      </c>
      <c r="E129" s="9">
        <f t="shared" si="67"/>
        <v>12790.660240379904</v>
      </c>
      <c r="F129" s="9">
        <f t="shared" si="67"/>
        <v>4598.9563247895503</v>
      </c>
      <c r="G129" s="9">
        <f t="shared" si="67"/>
        <v>653.66278141212308</v>
      </c>
      <c r="H129" s="9">
        <f t="shared" si="67"/>
        <v>-3206.9421201548953</v>
      </c>
      <c r="I129" s="9">
        <f t="shared" si="67"/>
        <v>1945.3278774945788</v>
      </c>
      <c r="J129" s="9">
        <f t="shared" si="67"/>
        <v>2701.5924907063199</v>
      </c>
      <c r="K129" s="9">
        <f t="shared" si="67"/>
        <v>1074.3542230483274</v>
      </c>
      <c r="L129" s="9">
        <f t="shared" si="67"/>
        <v>-44.110303748451059</v>
      </c>
      <c r="M129" s="9">
        <f t="shared" si="65"/>
        <v>34467.896454600224</v>
      </c>
    </row>
    <row r="130" spans="1:14" x14ac:dyDescent="0.2">
      <c r="A130" t="s">
        <v>9</v>
      </c>
      <c r="C130" s="9">
        <f t="shared" ref="C130:L130" si="68">+C95*C45</f>
        <v>14503.284206935217</v>
      </c>
      <c r="D130" s="9">
        <f t="shared" si="68"/>
        <v>386.35991635029171</v>
      </c>
      <c r="E130" s="9">
        <f t="shared" si="68"/>
        <v>13525.801793879235</v>
      </c>
      <c r="F130" s="9">
        <f t="shared" si="68"/>
        <v>5326.6338000330616</v>
      </c>
      <c r="G130" s="9">
        <f t="shared" si="68"/>
        <v>882.83846383619175</v>
      </c>
      <c r="H130" s="9">
        <f t="shared" si="68"/>
        <v>-3411.1482903410019</v>
      </c>
      <c r="I130" s="9">
        <f t="shared" si="68"/>
        <v>1731.2287933620535</v>
      </c>
      <c r="J130" s="9">
        <f t="shared" si="68"/>
        <v>1761.7344170917365</v>
      </c>
      <c r="K130" s="9">
        <f t="shared" si="68"/>
        <v>882.58376138949791</v>
      </c>
      <c r="L130" s="9">
        <f t="shared" si="68"/>
        <v>-124.87082547262794</v>
      </c>
      <c r="M130" s="9">
        <f t="shared" si="65"/>
        <v>35464.446037063644</v>
      </c>
    </row>
    <row r="131" spans="1:14" x14ac:dyDescent="0.2">
      <c r="A131" t="s">
        <v>10</v>
      </c>
      <c r="C131" s="9">
        <f t="shared" ref="C131:L131" si="69">+C96*C46</f>
        <v>15231.847646474145</v>
      </c>
      <c r="D131" s="9">
        <f t="shared" si="69"/>
        <v>368.36774663311814</v>
      </c>
      <c r="E131" s="9">
        <f t="shared" si="69"/>
        <v>13426.379273013632</v>
      </c>
      <c r="F131" s="9">
        <f t="shared" si="69"/>
        <v>5018.9988657478489</v>
      </c>
      <c r="G131" s="9">
        <f t="shared" si="69"/>
        <v>792.41856488007079</v>
      </c>
      <c r="H131" s="9">
        <f t="shared" si="69"/>
        <v>-3529.1835156378406</v>
      </c>
      <c r="I131" s="9">
        <f t="shared" si="69"/>
        <v>1705.7212707736091</v>
      </c>
      <c r="J131" s="9">
        <f t="shared" si="69"/>
        <v>2515.8562075607888</v>
      </c>
      <c r="K131" s="9">
        <f t="shared" si="69"/>
        <v>1277.4200721842967</v>
      </c>
      <c r="L131" s="9">
        <f t="shared" si="69"/>
        <v>-116.44406205003405</v>
      </c>
      <c r="M131" s="9">
        <f t="shared" si="65"/>
        <v>36691.382069579631</v>
      </c>
    </row>
    <row r="132" spans="1:14" x14ac:dyDescent="0.2">
      <c r="A132" t="s">
        <v>11</v>
      </c>
      <c r="C132" s="9">
        <f t="shared" ref="C132:L132" si="70">+C97*C47</f>
        <v>16216.065157331446</v>
      </c>
      <c r="D132" s="9">
        <f t="shared" si="70"/>
        <v>342.87681459446679</v>
      </c>
      <c r="E132" s="9">
        <f t="shared" si="70"/>
        <v>10779.496223786937</v>
      </c>
      <c r="F132" s="9">
        <f t="shared" si="70"/>
        <v>4606.0371875561641</v>
      </c>
      <c r="G132" s="9">
        <f t="shared" si="70"/>
        <v>841.96340581622314</v>
      </c>
      <c r="H132" s="9">
        <f t="shared" si="70"/>
        <v>-3782.4710581225595</v>
      </c>
      <c r="I132" s="9">
        <f t="shared" si="70"/>
        <v>1646.8990696184121</v>
      </c>
      <c r="J132" s="9">
        <f t="shared" si="70"/>
        <v>2105.3062134177421</v>
      </c>
      <c r="K132" s="9">
        <f t="shared" si="70"/>
        <v>1692.8809660137301</v>
      </c>
      <c r="L132" s="9">
        <f t="shared" si="70"/>
        <v>-118.59046024848307</v>
      </c>
      <c r="M132" s="9">
        <f t="shared" si="65"/>
        <v>34330.463519764082</v>
      </c>
    </row>
    <row r="133" spans="1:14" x14ac:dyDescent="0.2">
      <c r="A133" t="s">
        <v>12</v>
      </c>
      <c r="C133" s="9">
        <f t="shared" ref="C133:L133" si="71">+C98*C48</f>
        <v>18742.906699542324</v>
      </c>
      <c r="D133" s="9">
        <f t="shared" si="71"/>
        <v>399.12022871071474</v>
      </c>
      <c r="E133" s="9">
        <f t="shared" si="71"/>
        <v>12154.170772056841</v>
      </c>
      <c r="F133" s="9">
        <f t="shared" si="71"/>
        <v>5293.6475345451727</v>
      </c>
      <c r="G133" s="9">
        <f t="shared" si="71"/>
        <v>621.69549110050832</v>
      </c>
      <c r="H133" s="9">
        <f t="shared" si="71"/>
        <v>-4748.5102824629193</v>
      </c>
      <c r="I133" s="9">
        <f t="shared" si="71"/>
        <v>1438.0105551809979</v>
      </c>
      <c r="J133" s="9">
        <f t="shared" si="71"/>
        <v>2074.116598381911</v>
      </c>
      <c r="K133" s="9">
        <f t="shared" si="71"/>
        <v>1405.4266414272381</v>
      </c>
      <c r="L133" s="9">
        <f t="shared" si="71"/>
        <v>-129.28878228399543</v>
      </c>
      <c r="M133" s="9">
        <f t="shared" si="65"/>
        <v>37251.295456198779</v>
      </c>
    </row>
    <row r="134" spans="1:14" x14ac:dyDescent="0.2">
      <c r="A134" t="s">
        <v>38</v>
      </c>
      <c r="C134" s="9">
        <f t="shared" ref="C134:L134" si="72">+C99*C49</f>
        <v>14609.987559447078</v>
      </c>
      <c r="D134" s="9">
        <f t="shared" si="72"/>
        <v>330.20313778632266</v>
      </c>
      <c r="E134" s="9">
        <f t="shared" si="72"/>
        <v>12758.119518847805</v>
      </c>
      <c r="F134" s="9">
        <f t="shared" si="72"/>
        <v>4242.2953084834826</v>
      </c>
      <c r="G134" s="9">
        <f t="shared" si="72"/>
        <v>704.43626400603659</v>
      </c>
      <c r="H134" s="9">
        <f t="shared" si="72"/>
        <v>-3641.5450072887616</v>
      </c>
      <c r="I134" s="9">
        <f t="shared" si="72"/>
        <v>977.28282932274863</v>
      </c>
      <c r="J134" s="9">
        <f t="shared" si="72"/>
        <v>1841.0719396965187</v>
      </c>
      <c r="K134" s="9">
        <f t="shared" si="72"/>
        <v>1478.3623890845945</v>
      </c>
      <c r="L134" s="9">
        <f t="shared" si="72"/>
        <v>-100.66723022154348</v>
      </c>
      <c r="M134" s="9">
        <f t="shared" si="65"/>
        <v>33199.546709164279</v>
      </c>
    </row>
    <row r="135" spans="1:14" x14ac:dyDescent="0.2">
      <c r="A135" t="s">
        <v>15</v>
      </c>
      <c r="C135" s="9">
        <f t="shared" ref="C135:L135" si="73">+C100*C50</f>
        <v>13145.82551415036</v>
      </c>
      <c r="D135" s="9">
        <f t="shared" si="73"/>
        <v>464.03408704804349</v>
      </c>
      <c r="E135" s="9">
        <f t="shared" si="73"/>
        <v>12030.358998853071</v>
      </c>
      <c r="F135" s="9">
        <f t="shared" si="73"/>
        <v>4948.480881131537</v>
      </c>
      <c r="G135" s="9">
        <f t="shared" si="73"/>
        <v>689.23400058537641</v>
      </c>
      <c r="H135" s="9">
        <f t="shared" si="73"/>
        <v>-3435.0926229118008</v>
      </c>
      <c r="I135" s="9">
        <f t="shared" si="73"/>
        <v>1025.0526452045494</v>
      </c>
      <c r="J135" s="9">
        <f t="shared" si="73"/>
        <v>1989.8915668506993</v>
      </c>
      <c r="K135" s="9">
        <f t="shared" si="73"/>
        <v>1104.4271965050768</v>
      </c>
      <c r="L135" s="9">
        <f t="shared" si="73"/>
        <v>-3.0414219188542182</v>
      </c>
      <c r="M135" s="9">
        <f t="shared" si="65"/>
        <v>31959.170845498058</v>
      </c>
    </row>
    <row r="136" spans="1:14" x14ac:dyDescent="0.2">
      <c r="A136" t="s">
        <v>13</v>
      </c>
      <c r="C136" s="9">
        <f t="shared" ref="C136:L136" si="74">+C101*C51</f>
        <v>15614.149106499508</v>
      </c>
      <c r="D136" s="9">
        <f t="shared" si="74"/>
        <v>392.34518638424021</v>
      </c>
      <c r="E136" s="9">
        <f t="shared" si="74"/>
        <v>14540.292786266105</v>
      </c>
      <c r="F136" s="9">
        <f t="shared" si="74"/>
        <v>4795.8053177095435</v>
      </c>
      <c r="G136" s="9">
        <f t="shared" si="74"/>
        <v>707.5106240127094</v>
      </c>
      <c r="H136" s="9">
        <f t="shared" si="74"/>
        <v>-4219.5101640796838</v>
      </c>
      <c r="I136" s="9">
        <f t="shared" si="74"/>
        <v>1513.6201931995311</v>
      </c>
      <c r="J136" s="9">
        <f t="shared" si="74"/>
        <v>1960.8546732909288</v>
      </c>
      <c r="K136" s="9">
        <f t="shared" si="74"/>
        <v>912.2077858951402</v>
      </c>
      <c r="L136" s="9">
        <f t="shared" si="74"/>
        <v>-117.09715990860251</v>
      </c>
      <c r="M136" s="9">
        <f t="shared" si="65"/>
        <v>36100.178349269416</v>
      </c>
    </row>
    <row r="137" spans="1:14" x14ac:dyDescent="0.2">
      <c r="A137" t="s">
        <v>14</v>
      </c>
      <c r="C137" s="9">
        <f t="shared" ref="C137:L137" si="75">+C102*C52</f>
        <v>15398.121315706232</v>
      </c>
      <c r="D137" s="9">
        <f t="shared" si="75"/>
        <v>569.47288257899243</v>
      </c>
      <c r="E137" s="9">
        <f t="shared" si="75"/>
        <v>14186.96955712724</v>
      </c>
      <c r="F137" s="9">
        <f t="shared" si="75"/>
        <v>5235.0717779116139</v>
      </c>
      <c r="G137" s="9">
        <f t="shared" si="75"/>
        <v>799.13025132579003</v>
      </c>
      <c r="H137" s="9">
        <f t="shared" si="75"/>
        <v>-3772.7035369713926</v>
      </c>
      <c r="I137" s="9">
        <f t="shared" si="75"/>
        <v>1952.4747244662685</v>
      </c>
      <c r="J137" s="9">
        <f t="shared" si="75"/>
        <v>2425.851777967549</v>
      </c>
      <c r="K137" s="9">
        <f t="shared" si="75"/>
        <v>1538.7865755764303</v>
      </c>
      <c r="L137" s="9">
        <f t="shared" si="75"/>
        <v>-55.250967536293771</v>
      </c>
      <c r="M137" s="9">
        <f t="shared" si="65"/>
        <v>38277.924358152428</v>
      </c>
    </row>
    <row r="138" spans="1:14" ht="15" x14ac:dyDescent="0.35">
      <c r="A138" t="s">
        <v>2</v>
      </c>
      <c r="C138" s="10">
        <f t="shared" ref="C138:L138" si="76">+C103*C53</f>
        <v>14968.977377964726</v>
      </c>
      <c r="D138" s="10">
        <f t="shared" si="76"/>
        <v>338.24764187290697</v>
      </c>
      <c r="E138" s="10">
        <f t="shared" si="76"/>
        <v>15690.841306691091</v>
      </c>
      <c r="F138" s="10">
        <f t="shared" si="76"/>
        <v>5004.3906940672523</v>
      </c>
      <c r="G138" s="10">
        <f t="shared" si="76"/>
        <v>1105.5768292544642</v>
      </c>
      <c r="H138" s="10">
        <f t="shared" si="76"/>
        <v>-3816.5508565596351</v>
      </c>
      <c r="I138" s="10">
        <f t="shared" si="76"/>
        <v>2255.0724910095187</v>
      </c>
      <c r="J138" s="10">
        <f t="shared" si="76"/>
        <v>2635.9738338249026</v>
      </c>
      <c r="K138" s="10">
        <f t="shared" si="76"/>
        <v>2330.571717762984</v>
      </c>
      <c r="L138" s="10">
        <f t="shared" si="76"/>
        <v>-34.820748355426112</v>
      </c>
      <c r="M138" s="10">
        <f t="shared" si="65"/>
        <v>40478.280287532783</v>
      </c>
    </row>
    <row r="139" spans="1:14" ht="15" x14ac:dyDescent="0.35">
      <c r="C139" s="11">
        <f>SUM(C127:C138)</f>
        <v>182584.88042928601</v>
      </c>
      <c r="D139" s="11">
        <f t="shared" ref="D139" si="77">SUM(D127:D138)</f>
        <v>4584.9217084159927</v>
      </c>
      <c r="E139" s="11">
        <f t="shared" ref="E139" si="78">SUM(E127:E138)</f>
        <v>159689.96624691889</v>
      </c>
      <c r="F139" s="11">
        <f t="shared" ref="F139" si="79">SUM(F127:F138)</f>
        <v>59343.902576436267</v>
      </c>
      <c r="G139" s="11">
        <f t="shared" ref="G139" si="80">SUM(G127:G138)</f>
        <v>10244.86269790756</v>
      </c>
      <c r="H139" s="11">
        <f t="shared" ref="H139" si="81">SUM(H127:H138)</f>
        <v>-44448.145110020632</v>
      </c>
      <c r="I139" s="11">
        <f t="shared" ref="I139" si="82">SUM(I127:I138)</f>
        <v>21674.469401744256</v>
      </c>
      <c r="J139" s="11">
        <f t="shared" ref="J139" si="83">SUM(J127:J138)</f>
        <v>28740.275505249389</v>
      </c>
      <c r="K139" s="11">
        <f t="shared" ref="K139" si="84">SUM(K127:K138)</f>
        <v>16919.263187465433</v>
      </c>
      <c r="L139" s="11">
        <f t="shared" ref="L139" si="85">SUM(L127:L138)</f>
        <v>-908.7485330610175</v>
      </c>
      <c r="M139" s="11">
        <f>SUM(M127:M138)</f>
        <v>438425.6481103421</v>
      </c>
    </row>
    <row r="140" spans="1:14" ht="15" x14ac:dyDescent="0.35">
      <c r="C140" s="82">
        <f>+C139/C104</f>
        <v>78.518107060085271</v>
      </c>
      <c r="D140" s="82">
        <f t="shared" ref="D140:M140" si="86">+D139/D104</f>
        <v>30.143193118870375</v>
      </c>
      <c r="E140" s="82">
        <f t="shared" si="86"/>
        <v>103.42363788090759</v>
      </c>
      <c r="F140" s="82">
        <f t="shared" si="86"/>
        <v>1056.3878715022229</v>
      </c>
      <c r="G140" s="82">
        <f t="shared" si="86"/>
        <v>84.657022690562513</v>
      </c>
      <c r="H140" s="82">
        <f t="shared" si="86"/>
        <v>-53.34</v>
      </c>
      <c r="I140" s="82">
        <f t="shared" si="86"/>
        <v>134.57641459371933</v>
      </c>
      <c r="J140" s="82">
        <f t="shared" si="86"/>
        <v>542.21537119448021</v>
      </c>
      <c r="K140" s="82">
        <f t="shared" si="86"/>
        <v>414.0724043403946</v>
      </c>
      <c r="L140" s="82">
        <f t="shared" si="86"/>
        <v>-50.492500224131049</v>
      </c>
      <c r="M140" s="82">
        <f t="shared" si="86"/>
        <v>82.644800634659276</v>
      </c>
    </row>
    <row r="142" spans="1:14" x14ac:dyDescent="0.2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18"/>
    </row>
    <row r="143" spans="1:14" x14ac:dyDescent="0.2">
      <c r="N143" s="138"/>
    </row>
    <row r="144" spans="1:14" x14ac:dyDescent="0.2"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3:13" x14ac:dyDescent="0.2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31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2.75" x14ac:dyDescent="0.2"/>
  <cols>
    <col min="1" max="1" width="16.85546875" style="85" customWidth="1"/>
    <col min="2" max="2" width="9" style="85" bestFit="1" customWidth="1"/>
    <col min="3" max="3" width="6.7109375" style="85" bestFit="1" customWidth="1"/>
    <col min="4" max="4" width="9" style="85" bestFit="1" customWidth="1"/>
    <col min="5" max="5" width="6.7109375" style="85" bestFit="1" customWidth="1"/>
    <col min="6" max="6" width="9" style="85" bestFit="1" customWidth="1"/>
    <col min="7" max="7" width="6.7109375" style="85" bestFit="1" customWidth="1"/>
    <col min="8" max="8" width="9" style="85" bestFit="1" customWidth="1"/>
    <col min="9" max="9" width="6.7109375" style="85" bestFit="1" customWidth="1"/>
    <col min="10" max="10" width="9" style="85" bestFit="1" customWidth="1"/>
    <col min="11" max="11" width="6.7109375" style="85" bestFit="1" customWidth="1"/>
    <col min="12" max="12" width="9" style="85" bestFit="1" customWidth="1"/>
    <col min="13" max="13" width="6.7109375" style="85" bestFit="1" customWidth="1"/>
    <col min="14" max="14" width="9" style="85" bestFit="1" customWidth="1"/>
    <col min="15" max="15" width="6.7109375" style="85" bestFit="1" customWidth="1"/>
    <col min="16" max="16" width="9" style="85" bestFit="1" customWidth="1"/>
    <col min="17" max="17" width="6.7109375" style="85" bestFit="1" customWidth="1"/>
    <col min="18" max="18" width="9" style="85" bestFit="1" customWidth="1"/>
    <col min="19" max="19" width="6.7109375" style="85" bestFit="1" customWidth="1"/>
    <col min="20" max="20" width="9" style="85" bestFit="1" customWidth="1"/>
    <col min="21" max="21" width="6.7109375" style="85" bestFit="1" customWidth="1"/>
    <col min="22" max="22" width="9" style="85" bestFit="1" customWidth="1"/>
    <col min="23" max="23" width="6.7109375" style="85" bestFit="1" customWidth="1"/>
    <col min="24" max="24" width="9" style="85" bestFit="1" customWidth="1"/>
    <col min="25" max="25" width="6.7109375" style="85" bestFit="1" customWidth="1"/>
    <col min="26" max="26" width="10" bestFit="1" customWidth="1"/>
    <col min="27" max="27" width="6.7109375" bestFit="1" customWidth="1"/>
    <col min="29" max="29" width="10" style="85" bestFit="1" customWidth="1"/>
    <col min="30" max="172" width="9.140625" style="85"/>
    <col min="173" max="173" width="18.42578125" style="85" customWidth="1"/>
    <col min="174" max="183" width="9.140625" style="85"/>
    <col min="184" max="184" width="10.28515625" style="85" bestFit="1" customWidth="1"/>
    <col min="185" max="428" width="9.140625" style="85"/>
    <col min="429" max="429" width="18.42578125" style="85" customWidth="1"/>
    <col min="430" max="439" width="9.140625" style="85"/>
    <col min="440" max="440" width="10.28515625" style="85" bestFit="1" customWidth="1"/>
    <col min="441" max="684" width="9.140625" style="85"/>
    <col min="685" max="685" width="18.42578125" style="85" customWidth="1"/>
    <col min="686" max="695" width="9.140625" style="85"/>
    <col min="696" max="696" width="10.28515625" style="85" bestFit="1" customWidth="1"/>
    <col min="697" max="940" width="9.140625" style="85"/>
    <col min="941" max="941" width="18.42578125" style="85" customWidth="1"/>
    <col min="942" max="951" width="9.140625" style="85"/>
    <col min="952" max="952" width="10.28515625" style="85" bestFit="1" customWidth="1"/>
    <col min="953" max="1196" width="9.140625" style="85"/>
    <col min="1197" max="1197" width="18.42578125" style="85" customWidth="1"/>
    <col min="1198" max="1207" width="9.140625" style="85"/>
    <col min="1208" max="1208" width="10.28515625" style="85" bestFit="1" customWidth="1"/>
    <col min="1209" max="1452" width="9.140625" style="85"/>
    <col min="1453" max="1453" width="18.42578125" style="85" customWidth="1"/>
    <col min="1454" max="1463" width="9.140625" style="85"/>
    <col min="1464" max="1464" width="10.28515625" style="85" bestFit="1" customWidth="1"/>
    <col min="1465" max="1708" width="9.140625" style="85"/>
    <col min="1709" max="1709" width="18.42578125" style="85" customWidth="1"/>
    <col min="1710" max="1719" width="9.140625" style="85"/>
    <col min="1720" max="1720" width="10.28515625" style="85" bestFit="1" customWidth="1"/>
    <col min="1721" max="1964" width="9.140625" style="85"/>
    <col min="1965" max="1965" width="18.42578125" style="85" customWidth="1"/>
    <col min="1966" max="1975" width="9.140625" style="85"/>
    <col min="1976" max="1976" width="10.28515625" style="85" bestFit="1" customWidth="1"/>
    <col min="1977" max="2220" width="9.140625" style="85"/>
    <col min="2221" max="2221" width="18.42578125" style="85" customWidth="1"/>
    <col min="2222" max="2231" width="9.140625" style="85"/>
    <col min="2232" max="2232" width="10.28515625" style="85" bestFit="1" customWidth="1"/>
    <col min="2233" max="2476" width="9.140625" style="85"/>
    <col min="2477" max="2477" width="18.42578125" style="85" customWidth="1"/>
    <col min="2478" max="2487" width="9.140625" style="85"/>
    <col min="2488" max="2488" width="10.28515625" style="85" bestFit="1" customWidth="1"/>
    <col min="2489" max="2732" width="9.140625" style="85"/>
    <col min="2733" max="2733" width="18.42578125" style="85" customWidth="1"/>
    <col min="2734" max="2743" width="9.140625" style="85"/>
    <col min="2744" max="2744" width="10.28515625" style="85" bestFit="1" customWidth="1"/>
    <col min="2745" max="2988" width="9.140625" style="85"/>
    <col min="2989" max="2989" width="18.42578125" style="85" customWidth="1"/>
    <col min="2990" max="2999" width="9.140625" style="85"/>
    <col min="3000" max="3000" width="10.28515625" style="85" bestFit="1" customWidth="1"/>
    <col min="3001" max="3244" width="9.140625" style="85"/>
    <col min="3245" max="3245" width="18.42578125" style="85" customWidth="1"/>
    <col min="3246" max="3255" width="9.140625" style="85"/>
    <col min="3256" max="3256" width="10.28515625" style="85" bestFit="1" customWidth="1"/>
    <col min="3257" max="3500" width="9.140625" style="85"/>
    <col min="3501" max="3501" width="18.42578125" style="85" customWidth="1"/>
    <col min="3502" max="3511" width="9.140625" style="85"/>
    <col min="3512" max="3512" width="10.28515625" style="85" bestFit="1" customWidth="1"/>
    <col min="3513" max="3756" width="9.140625" style="85"/>
    <col min="3757" max="3757" width="18.42578125" style="85" customWidth="1"/>
    <col min="3758" max="3767" width="9.140625" style="85"/>
    <col min="3768" max="3768" width="10.28515625" style="85" bestFit="1" customWidth="1"/>
    <col min="3769" max="4012" width="9.140625" style="85"/>
    <col min="4013" max="4013" width="18.42578125" style="85" customWidth="1"/>
    <col min="4014" max="4023" width="9.140625" style="85"/>
    <col min="4024" max="4024" width="10.28515625" style="85" bestFit="1" customWidth="1"/>
    <col min="4025" max="4268" width="9.140625" style="85"/>
    <col min="4269" max="4269" width="18.42578125" style="85" customWidth="1"/>
    <col min="4270" max="4279" width="9.140625" style="85"/>
    <col min="4280" max="4280" width="10.28515625" style="85" bestFit="1" customWidth="1"/>
    <col min="4281" max="4524" width="9.140625" style="85"/>
    <col min="4525" max="4525" width="18.42578125" style="85" customWidth="1"/>
    <col min="4526" max="4535" width="9.140625" style="85"/>
    <col min="4536" max="4536" width="10.28515625" style="85" bestFit="1" customWidth="1"/>
    <col min="4537" max="4780" width="9.140625" style="85"/>
    <col min="4781" max="4781" width="18.42578125" style="85" customWidth="1"/>
    <col min="4782" max="4791" width="9.140625" style="85"/>
    <col min="4792" max="4792" width="10.28515625" style="85" bestFit="1" customWidth="1"/>
    <col min="4793" max="5036" width="9.140625" style="85"/>
    <col min="5037" max="5037" width="18.42578125" style="85" customWidth="1"/>
    <col min="5038" max="5047" width="9.140625" style="85"/>
    <col min="5048" max="5048" width="10.28515625" style="85" bestFit="1" customWidth="1"/>
    <col min="5049" max="5292" width="9.140625" style="85"/>
    <col min="5293" max="5293" width="18.42578125" style="85" customWidth="1"/>
    <col min="5294" max="5303" width="9.140625" style="85"/>
    <col min="5304" max="5304" width="10.28515625" style="85" bestFit="1" customWidth="1"/>
    <col min="5305" max="5548" width="9.140625" style="85"/>
    <col min="5549" max="5549" width="18.42578125" style="85" customWidth="1"/>
    <col min="5550" max="5559" width="9.140625" style="85"/>
    <col min="5560" max="5560" width="10.28515625" style="85" bestFit="1" customWidth="1"/>
    <col min="5561" max="5804" width="9.140625" style="85"/>
    <col min="5805" max="5805" width="18.42578125" style="85" customWidth="1"/>
    <col min="5806" max="5815" width="9.140625" style="85"/>
    <col min="5816" max="5816" width="10.28515625" style="85" bestFit="1" customWidth="1"/>
    <col min="5817" max="6060" width="9.140625" style="85"/>
    <col min="6061" max="6061" width="18.42578125" style="85" customWidth="1"/>
    <col min="6062" max="6071" width="9.140625" style="85"/>
    <col min="6072" max="6072" width="10.28515625" style="85" bestFit="1" customWidth="1"/>
    <col min="6073" max="6316" width="9.140625" style="85"/>
    <col min="6317" max="6317" width="18.42578125" style="85" customWidth="1"/>
    <col min="6318" max="6327" width="9.140625" style="85"/>
    <col min="6328" max="6328" width="10.28515625" style="85" bestFit="1" customWidth="1"/>
    <col min="6329" max="6572" width="9.140625" style="85"/>
    <col min="6573" max="6573" width="18.42578125" style="85" customWidth="1"/>
    <col min="6574" max="6583" width="9.140625" style="85"/>
    <col min="6584" max="6584" width="10.28515625" style="85" bestFit="1" customWidth="1"/>
    <col min="6585" max="6828" width="9.140625" style="85"/>
    <col min="6829" max="6829" width="18.42578125" style="85" customWidth="1"/>
    <col min="6830" max="6839" width="9.140625" style="85"/>
    <col min="6840" max="6840" width="10.28515625" style="85" bestFit="1" customWidth="1"/>
    <col min="6841" max="7084" width="9.140625" style="85"/>
    <col min="7085" max="7085" width="18.42578125" style="85" customWidth="1"/>
    <col min="7086" max="7095" width="9.140625" style="85"/>
    <col min="7096" max="7096" width="10.28515625" style="85" bestFit="1" customWidth="1"/>
    <col min="7097" max="7340" width="9.140625" style="85"/>
    <col min="7341" max="7341" width="18.42578125" style="85" customWidth="1"/>
    <col min="7342" max="7351" width="9.140625" style="85"/>
    <col min="7352" max="7352" width="10.28515625" style="85" bestFit="1" customWidth="1"/>
    <col min="7353" max="7596" width="9.140625" style="85"/>
    <col min="7597" max="7597" width="18.42578125" style="85" customWidth="1"/>
    <col min="7598" max="7607" width="9.140625" style="85"/>
    <col min="7608" max="7608" width="10.28515625" style="85" bestFit="1" customWidth="1"/>
    <col min="7609" max="7852" width="9.140625" style="85"/>
    <col min="7853" max="7853" width="18.42578125" style="85" customWidth="1"/>
    <col min="7854" max="7863" width="9.140625" style="85"/>
    <col min="7864" max="7864" width="10.28515625" style="85" bestFit="1" customWidth="1"/>
    <col min="7865" max="8108" width="9.140625" style="85"/>
    <col min="8109" max="8109" width="18.42578125" style="85" customWidth="1"/>
    <col min="8110" max="8119" width="9.140625" style="85"/>
    <col min="8120" max="8120" width="10.28515625" style="85" bestFit="1" customWidth="1"/>
    <col min="8121" max="8364" width="9.140625" style="85"/>
    <col min="8365" max="8365" width="18.42578125" style="85" customWidth="1"/>
    <col min="8366" max="8375" width="9.140625" style="85"/>
    <col min="8376" max="8376" width="10.28515625" style="85" bestFit="1" customWidth="1"/>
    <col min="8377" max="8620" width="9.140625" style="85"/>
    <col min="8621" max="8621" width="18.42578125" style="85" customWidth="1"/>
    <col min="8622" max="8631" width="9.140625" style="85"/>
    <col min="8632" max="8632" width="10.28515625" style="85" bestFit="1" customWidth="1"/>
    <col min="8633" max="8876" width="9.140625" style="85"/>
    <col min="8877" max="8877" width="18.42578125" style="85" customWidth="1"/>
    <col min="8878" max="8887" width="9.140625" style="85"/>
    <col min="8888" max="8888" width="10.28515625" style="85" bestFit="1" customWidth="1"/>
    <col min="8889" max="9132" width="9.140625" style="85"/>
    <col min="9133" max="9133" width="18.42578125" style="85" customWidth="1"/>
    <col min="9134" max="9143" width="9.140625" style="85"/>
    <col min="9144" max="9144" width="10.28515625" style="85" bestFit="1" customWidth="1"/>
    <col min="9145" max="9388" width="9.140625" style="85"/>
    <col min="9389" max="9389" width="18.42578125" style="85" customWidth="1"/>
    <col min="9390" max="9399" width="9.140625" style="85"/>
    <col min="9400" max="9400" width="10.28515625" style="85" bestFit="1" customWidth="1"/>
    <col min="9401" max="9644" width="9.140625" style="85"/>
    <col min="9645" max="9645" width="18.42578125" style="85" customWidth="1"/>
    <col min="9646" max="9655" width="9.140625" style="85"/>
    <col min="9656" max="9656" width="10.28515625" style="85" bestFit="1" customWidth="1"/>
    <col min="9657" max="9900" width="9.140625" style="85"/>
    <col min="9901" max="9901" width="18.42578125" style="85" customWidth="1"/>
    <col min="9902" max="9911" width="9.140625" style="85"/>
    <col min="9912" max="9912" width="10.28515625" style="85" bestFit="1" customWidth="1"/>
    <col min="9913" max="10156" width="9.140625" style="85"/>
    <col min="10157" max="10157" width="18.42578125" style="85" customWidth="1"/>
    <col min="10158" max="10167" width="9.140625" style="85"/>
    <col min="10168" max="10168" width="10.28515625" style="85" bestFit="1" customWidth="1"/>
    <col min="10169" max="10412" width="9.140625" style="85"/>
    <col min="10413" max="10413" width="18.42578125" style="85" customWidth="1"/>
    <col min="10414" max="10423" width="9.140625" style="85"/>
    <col min="10424" max="10424" width="10.28515625" style="85" bestFit="1" customWidth="1"/>
    <col min="10425" max="10668" width="9.140625" style="85"/>
    <col min="10669" max="10669" width="18.42578125" style="85" customWidth="1"/>
    <col min="10670" max="10679" width="9.140625" style="85"/>
    <col min="10680" max="10680" width="10.28515625" style="85" bestFit="1" customWidth="1"/>
    <col min="10681" max="10924" width="9.140625" style="85"/>
    <col min="10925" max="10925" width="18.42578125" style="85" customWidth="1"/>
    <col min="10926" max="10935" width="9.140625" style="85"/>
    <col min="10936" max="10936" width="10.28515625" style="85" bestFit="1" customWidth="1"/>
    <col min="10937" max="11180" width="9.140625" style="85"/>
    <col min="11181" max="11181" width="18.42578125" style="85" customWidth="1"/>
    <col min="11182" max="11191" width="9.140625" style="85"/>
    <col min="11192" max="11192" width="10.28515625" style="85" bestFit="1" customWidth="1"/>
    <col min="11193" max="11436" width="9.140625" style="85"/>
    <col min="11437" max="11437" width="18.42578125" style="85" customWidth="1"/>
    <col min="11438" max="11447" width="9.140625" style="85"/>
    <col min="11448" max="11448" width="10.28515625" style="85" bestFit="1" customWidth="1"/>
    <col min="11449" max="11692" width="9.140625" style="85"/>
    <col min="11693" max="11693" width="18.42578125" style="85" customWidth="1"/>
    <col min="11694" max="11703" width="9.140625" style="85"/>
    <col min="11704" max="11704" width="10.28515625" style="85" bestFit="1" customWidth="1"/>
    <col min="11705" max="11948" width="9.140625" style="85"/>
    <col min="11949" max="11949" width="18.42578125" style="85" customWidth="1"/>
    <col min="11950" max="11959" width="9.140625" style="85"/>
    <col min="11960" max="11960" width="10.28515625" style="85" bestFit="1" customWidth="1"/>
    <col min="11961" max="12204" width="9.140625" style="85"/>
    <col min="12205" max="12205" width="18.42578125" style="85" customWidth="1"/>
    <col min="12206" max="12215" width="9.140625" style="85"/>
    <col min="12216" max="12216" width="10.28515625" style="85" bestFit="1" customWidth="1"/>
    <col min="12217" max="12460" width="9.140625" style="85"/>
    <col min="12461" max="12461" width="18.42578125" style="85" customWidth="1"/>
    <col min="12462" max="12471" width="9.140625" style="85"/>
    <col min="12472" max="12472" width="10.28515625" style="85" bestFit="1" customWidth="1"/>
    <col min="12473" max="12716" width="9.140625" style="85"/>
    <col min="12717" max="12717" width="18.42578125" style="85" customWidth="1"/>
    <col min="12718" max="12727" width="9.140625" style="85"/>
    <col min="12728" max="12728" width="10.28515625" style="85" bestFit="1" customWidth="1"/>
    <col min="12729" max="12972" width="9.140625" style="85"/>
    <col min="12973" max="12973" width="18.42578125" style="85" customWidth="1"/>
    <col min="12974" max="12983" width="9.140625" style="85"/>
    <col min="12984" max="12984" width="10.28515625" style="85" bestFit="1" customWidth="1"/>
    <col min="12985" max="13228" width="9.140625" style="85"/>
    <col min="13229" max="13229" width="18.42578125" style="85" customWidth="1"/>
    <col min="13230" max="13239" width="9.140625" style="85"/>
    <col min="13240" max="13240" width="10.28515625" style="85" bestFit="1" customWidth="1"/>
    <col min="13241" max="13484" width="9.140625" style="85"/>
    <col min="13485" max="13485" width="18.42578125" style="85" customWidth="1"/>
    <col min="13486" max="13495" width="9.140625" style="85"/>
    <col min="13496" max="13496" width="10.28515625" style="85" bestFit="1" customWidth="1"/>
    <col min="13497" max="13740" width="9.140625" style="85"/>
    <col min="13741" max="13741" width="18.42578125" style="85" customWidth="1"/>
    <col min="13742" max="13751" width="9.140625" style="85"/>
    <col min="13752" max="13752" width="10.28515625" style="85" bestFit="1" customWidth="1"/>
    <col min="13753" max="13996" width="9.140625" style="85"/>
    <col min="13997" max="13997" width="18.42578125" style="85" customWidth="1"/>
    <col min="13998" max="14007" width="9.140625" style="85"/>
    <col min="14008" max="14008" width="10.28515625" style="85" bestFit="1" customWidth="1"/>
    <col min="14009" max="14252" width="9.140625" style="85"/>
    <col min="14253" max="14253" width="18.42578125" style="85" customWidth="1"/>
    <col min="14254" max="14263" width="9.140625" style="85"/>
    <col min="14264" max="14264" width="10.28515625" style="85" bestFit="1" customWidth="1"/>
    <col min="14265" max="14508" width="9.140625" style="85"/>
    <col min="14509" max="14509" width="18.42578125" style="85" customWidth="1"/>
    <col min="14510" max="14519" width="9.140625" style="85"/>
    <col min="14520" max="14520" width="10.28515625" style="85" bestFit="1" customWidth="1"/>
    <col min="14521" max="14764" width="9.140625" style="85"/>
    <col min="14765" max="14765" width="18.42578125" style="85" customWidth="1"/>
    <col min="14766" max="14775" width="9.140625" style="85"/>
    <col min="14776" max="14776" width="10.28515625" style="85" bestFit="1" customWidth="1"/>
    <col min="14777" max="15020" width="9.140625" style="85"/>
    <col min="15021" max="15021" width="18.42578125" style="85" customWidth="1"/>
    <col min="15022" max="15031" width="9.140625" style="85"/>
    <col min="15032" max="15032" width="10.28515625" style="85" bestFit="1" customWidth="1"/>
    <col min="15033" max="15276" width="9.140625" style="85"/>
    <col min="15277" max="15277" width="18.42578125" style="85" customWidth="1"/>
    <col min="15278" max="15287" width="9.140625" style="85"/>
    <col min="15288" max="15288" width="10.28515625" style="85" bestFit="1" customWidth="1"/>
    <col min="15289" max="15532" width="9.140625" style="85"/>
    <col min="15533" max="15533" width="18.42578125" style="85" customWidth="1"/>
    <col min="15534" max="15543" width="9.140625" style="85"/>
    <col min="15544" max="15544" width="10.28515625" style="85" bestFit="1" customWidth="1"/>
    <col min="15545" max="15788" width="9.140625" style="85"/>
    <col min="15789" max="15789" width="18.42578125" style="85" customWidth="1"/>
    <col min="15790" max="15799" width="9.140625" style="85"/>
    <col min="15800" max="15800" width="10.28515625" style="85" bestFit="1" customWidth="1"/>
    <col min="15801" max="16044" width="9.140625" style="85"/>
    <col min="16045" max="16045" width="18.42578125" style="85" customWidth="1"/>
    <col min="16046" max="16055" width="9.140625" style="85"/>
    <col min="16056" max="16056" width="10.28515625" style="85" bestFit="1" customWidth="1"/>
    <col min="16057" max="16384" width="9.140625" style="85"/>
  </cols>
  <sheetData>
    <row r="1" spans="1:29" ht="12" x14ac:dyDescent="0.2">
      <c r="A1" s="84" t="s">
        <v>71</v>
      </c>
      <c r="Z1" s="85"/>
      <c r="AA1" s="85"/>
      <c r="AB1" s="85"/>
    </row>
    <row r="2" spans="1:29" s="86" customFormat="1" ht="12" x14ac:dyDescent="0.2"/>
    <row r="3" spans="1:29" s="86" customFormat="1" ht="12" x14ac:dyDescent="0.2">
      <c r="A3" s="87"/>
    </row>
    <row r="4" spans="1:29" s="86" customFormat="1" ht="12" x14ac:dyDescent="0.2">
      <c r="B4" s="144">
        <v>42156</v>
      </c>
      <c r="C4" s="144"/>
      <c r="D4" s="144">
        <v>42186</v>
      </c>
      <c r="E4" s="144"/>
      <c r="F4" s="144">
        <v>42217</v>
      </c>
      <c r="G4" s="144"/>
      <c r="H4" s="144">
        <v>42248</v>
      </c>
      <c r="I4" s="144"/>
      <c r="J4" s="144">
        <v>42278</v>
      </c>
      <c r="K4" s="144"/>
      <c r="L4" s="144">
        <v>42309</v>
      </c>
      <c r="M4" s="144"/>
      <c r="N4" s="144">
        <v>42339</v>
      </c>
      <c r="O4" s="144"/>
      <c r="P4" s="144">
        <v>42370</v>
      </c>
      <c r="Q4" s="144"/>
      <c r="R4" s="144">
        <v>42401</v>
      </c>
      <c r="S4" s="144"/>
      <c r="T4" s="144">
        <v>42430</v>
      </c>
      <c r="U4" s="144"/>
      <c r="V4" s="144">
        <v>42461</v>
      </c>
      <c r="W4" s="144"/>
      <c r="X4" s="144">
        <v>42491</v>
      </c>
      <c r="Y4" s="144"/>
      <c r="Z4" s="144" t="s">
        <v>3</v>
      </c>
      <c r="AA4" s="144"/>
      <c r="AC4" s="148" t="s">
        <v>103</v>
      </c>
    </row>
    <row r="5" spans="1:29" s="86" customFormat="1" ht="12" x14ac:dyDescent="0.2">
      <c r="B5" s="88" t="s">
        <v>17</v>
      </c>
      <c r="C5" s="88" t="s">
        <v>4</v>
      </c>
      <c r="D5" s="88" t="s">
        <v>17</v>
      </c>
      <c r="E5" s="88" t="s">
        <v>4</v>
      </c>
      <c r="F5" s="88" t="s">
        <v>17</v>
      </c>
      <c r="G5" s="88" t="s">
        <v>4</v>
      </c>
      <c r="H5" s="88" t="s">
        <v>17</v>
      </c>
      <c r="I5" s="88" t="s">
        <v>4</v>
      </c>
      <c r="J5" s="88" t="s">
        <v>17</v>
      </c>
      <c r="K5" s="88" t="s">
        <v>4</v>
      </c>
      <c r="L5" s="88" t="s">
        <v>17</v>
      </c>
      <c r="M5" s="88" t="s">
        <v>4</v>
      </c>
      <c r="N5" s="88" t="s">
        <v>17</v>
      </c>
      <c r="O5" s="88" t="s">
        <v>4</v>
      </c>
      <c r="P5" s="88" t="s">
        <v>17</v>
      </c>
      <c r="Q5" s="88" t="s">
        <v>4</v>
      </c>
      <c r="R5" s="88" t="s">
        <v>17</v>
      </c>
      <c r="S5" s="88" t="s">
        <v>4</v>
      </c>
      <c r="T5" s="88" t="s">
        <v>17</v>
      </c>
      <c r="U5" s="88" t="s">
        <v>4</v>
      </c>
      <c r="V5" s="88" t="s">
        <v>17</v>
      </c>
      <c r="W5" s="88" t="s">
        <v>4</v>
      </c>
      <c r="X5" s="88" t="s">
        <v>17</v>
      </c>
      <c r="Y5" s="88" t="s">
        <v>4</v>
      </c>
      <c r="Z5" s="88" t="s">
        <v>17</v>
      </c>
      <c r="AA5" s="88" t="s">
        <v>4</v>
      </c>
      <c r="AC5" s="149" t="s">
        <v>104</v>
      </c>
    </row>
    <row r="6" spans="1:29" s="86" customFormat="1" ht="12" x14ac:dyDescent="0.2">
      <c r="A6" s="86" t="s">
        <v>42</v>
      </c>
      <c r="B6" s="89">
        <v>421.95</v>
      </c>
      <c r="C6" s="96">
        <f>+B6/B$16</f>
        <v>0.43418534296474653</v>
      </c>
      <c r="D6" s="89">
        <v>453.83</v>
      </c>
      <c r="E6" s="96">
        <f>+D6/D$16</f>
        <v>0.43650091372511296</v>
      </c>
      <c r="F6" s="89">
        <v>410.75</v>
      </c>
      <c r="G6" s="96">
        <f>+F6/F$16</f>
        <v>0.43969042368708378</v>
      </c>
      <c r="H6" s="89">
        <v>409.46</v>
      </c>
      <c r="I6" s="96">
        <f>+H6/H$16</f>
        <v>0.42633431207180189</v>
      </c>
      <c r="J6" s="89">
        <v>429.87</v>
      </c>
      <c r="K6" s="96">
        <f>+J6/J$16</f>
        <v>0.43383963263864361</v>
      </c>
      <c r="L6" s="89">
        <v>478.09</v>
      </c>
      <c r="M6" s="96">
        <f>+L6/L$16</f>
        <v>0.46912041761519746</v>
      </c>
      <c r="N6" s="89">
        <v>579.33000000000004</v>
      </c>
      <c r="O6" s="96">
        <f>+N6/N$16</f>
        <v>0.49084115633578468</v>
      </c>
      <c r="P6" s="89">
        <v>477.74</v>
      </c>
      <c r="Q6" s="96">
        <f>+P6/P$16</f>
        <v>0.4567522348104594</v>
      </c>
      <c r="R6" s="89">
        <v>391.56</v>
      </c>
      <c r="S6" s="96">
        <f>+R6/R$16</f>
        <v>0.41417827563227871</v>
      </c>
      <c r="T6" s="89">
        <v>456.77</v>
      </c>
      <c r="U6" s="96">
        <f>+T6/T$16</f>
        <v>0.42715931620095016</v>
      </c>
      <c r="V6" s="89">
        <v>424.06</v>
      </c>
      <c r="W6" s="96">
        <f>+V6/V$16</f>
        <v>0.41717248231694709</v>
      </c>
      <c r="X6" s="89">
        <v>413.87</v>
      </c>
      <c r="Y6" s="96">
        <f>+X6/X$16</f>
        <v>0.403452847478115</v>
      </c>
      <c r="Z6" s="89">
        <f>+X6+V6+T6+R6+P6+N6+L6+J6+H6+F6+D6+B6</f>
        <v>5347.28</v>
      </c>
      <c r="AA6" s="96">
        <f>+Z6/Z$16</f>
        <v>0.43832463342339267</v>
      </c>
      <c r="AC6" s="113">
        <v>4803.68</v>
      </c>
    </row>
    <row r="7" spans="1:29" s="86" customFormat="1" ht="12" x14ac:dyDescent="0.2">
      <c r="A7" s="86" t="s">
        <v>72</v>
      </c>
      <c r="B7" s="89">
        <v>18.32</v>
      </c>
      <c r="C7" s="96">
        <f t="shared" ref="C7:E15" si="0">+B7/B$16</f>
        <v>1.8851227593587289E-2</v>
      </c>
      <c r="D7" s="89">
        <v>19.66</v>
      </c>
      <c r="E7" s="96">
        <f t="shared" si="0"/>
        <v>1.8909300759834567E-2</v>
      </c>
      <c r="F7" s="89">
        <v>19.309999999999999</v>
      </c>
      <c r="G7" s="96">
        <f t="shared" ref="G7" si="1">+F7/F$16</f>
        <v>2.0670534586482256E-2</v>
      </c>
      <c r="H7" s="89">
        <v>25.25</v>
      </c>
      <c r="I7" s="96">
        <f t="shared" ref="I7" si="2">+H7/H$16</f>
        <v>2.629058120405656E-2</v>
      </c>
      <c r="J7" s="89">
        <v>24.19</v>
      </c>
      <c r="K7" s="96">
        <f t="shared" ref="K7" si="3">+J7/J$16</f>
        <v>2.4413382449412123E-2</v>
      </c>
      <c r="L7" s="89">
        <v>26.31</v>
      </c>
      <c r="M7" s="96">
        <f t="shared" ref="M7" si="4">+L7/L$16</f>
        <v>2.5816390611507971E-2</v>
      </c>
      <c r="N7" s="89">
        <v>36.6</v>
      </c>
      <c r="O7" s="96">
        <f t="shared" ref="O7:Q7" si="5">+N7/N$16</f>
        <v>3.1009590944521635E-2</v>
      </c>
      <c r="P7" s="89">
        <v>37.909999999999997</v>
      </c>
      <c r="Q7" s="96">
        <f t="shared" si="5"/>
        <v>3.6244562359577411E-2</v>
      </c>
      <c r="R7" s="89">
        <v>53.4</v>
      </c>
      <c r="S7" s="96">
        <f t="shared" ref="S7" si="6">+R7/R$16</f>
        <v>5.6484625392695068E-2</v>
      </c>
      <c r="T7" s="89">
        <v>34.64</v>
      </c>
      <c r="U7" s="96">
        <f t="shared" ref="U7" si="7">+T7/T$16</f>
        <v>3.2394418883028471E-2</v>
      </c>
      <c r="V7" s="89">
        <v>36.35</v>
      </c>
      <c r="W7" s="96">
        <f t="shared" ref="W7" si="8">+V7/V$16</f>
        <v>3.5759608857758404E-2</v>
      </c>
      <c r="X7" s="89">
        <v>17.72</v>
      </c>
      <c r="Y7" s="96">
        <f t="shared" ref="Y7:AA7" si="9">+X7/X$16</f>
        <v>1.727398568949718E-2</v>
      </c>
      <c r="Z7" s="89">
        <f t="shared" ref="Z7:Z15" si="10">+X7+V7+T7+R7+P7+N7+L7+J7+H7+F7+D7+B7</f>
        <v>349.66</v>
      </c>
      <c r="AA7" s="96">
        <f t="shared" si="9"/>
        <v>2.8662159326390893E-2</v>
      </c>
      <c r="AC7" s="113">
        <v>526.66000000000008</v>
      </c>
    </row>
    <row r="8" spans="1:29" s="86" customFormat="1" ht="12" x14ac:dyDescent="0.2">
      <c r="A8" s="86" t="s">
        <v>24</v>
      </c>
      <c r="B8" s="89">
        <v>299.27</v>
      </c>
      <c r="C8" s="96">
        <f t="shared" si="0"/>
        <v>0.30794797390463252</v>
      </c>
      <c r="D8" s="89">
        <v>319.52</v>
      </c>
      <c r="E8" s="96">
        <f t="shared" si="0"/>
        <v>0.30731941906319127</v>
      </c>
      <c r="F8" s="89">
        <v>281.83</v>
      </c>
      <c r="G8" s="96">
        <f t="shared" ref="G8" si="11">+F8/F$16</f>
        <v>0.30168704104134098</v>
      </c>
      <c r="H8" s="89">
        <v>293.08999999999997</v>
      </c>
      <c r="I8" s="96">
        <f t="shared" ref="I8" si="12">+H8/H$16</f>
        <v>0.30516857208304699</v>
      </c>
      <c r="J8" s="89">
        <v>294.54000000000002</v>
      </c>
      <c r="K8" s="96">
        <f t="shared" ref="K8" si="13">+J8/J$16</f>
        <v>0.29725992834435083</v>
      </c>
      <c r="L8" s="89">
        <v>257.41000000000003</v>
      </c>
      <c r="M8" s="96">
        <f t="shared" ref="M8" si="14">+L8/L$16</f>
        <v>0.25258065782243511</v>
      </c>
      <c r="N8" s="89">
        <v>275.99</v>
      </c>
      <c r="O8" s="96">
        <f t="shared" ref="O8:Q8" si="15">+N8/N$16</f>
        <v>0.23383434439285591</v>
      </c>
      <c r="P8" s="89">
        <v>292.83</v>
      </c>
      <c r="Q8" s="96">
        <f t="shared" si="15"/>
        <v>0.27996558152875373</v>
      </c>
      <c r="R8" s="89">
        <v>274.47000000000003</v>
      </c>
      <c r="S8" s="96">
        <f t="shared" ref="S8" si="16">+R8/R$16</f>
        <v>0.2903246279313299</v>
      </c>
      <c r="T8" s="89">
        <v>312.73</v>
      </c>
      <c r="U8" s="96">
        <f t="shared" ref="U8" si="17">+T8/T$16</f>
        <v>0.29245688848988144</v>
      </c>
      <c r="V8" s="89">
        <v>306.27999999999997</v>
      </c>
      <c r="W8" s="96">
        <f t="shared" ref="W8" si="18">+V8/V$16</f>
        <v>0.30130544706889251</v>
      </c>
      <c r="X8" s="89">
        <v>343.12</v>
      </c>
      <c r="Y8" s="96">
        <f t="shared" ref="Y8:AA8" si="19">+X8/X$16</f>
        <v>0.33448363260611019</v>
      </c>
      <c r="Z8" s="89">
        <f t="shared" si="10"/>
        <v>3551.08</v>
      </c>
      <c r="AA8" s="96">
        <f t="shared" si="19"/>
        <v>0.29108740130629801</v>
      </c>
      <c r="AC8" s="113">
        <v>3204.8900000000003</v>
      </c>
    </row>
    <row r="9" spans="1:29" s="86" customFormat="1" ht="12" x14ac:dyDescent="0.2">
      <c r="A9" s="86" t="s">
        <v>22</v>
      </c>
      <c r="B9" s="89">
        <v>10.86</v>
      </c>
      <c r="C9" s="96">
        <f t="shared" si="0"/>
        <v>1.1174908933753162E-2</v>
      </c>
      <c r="D9" s="89">
        <v>11.93</v>
      </c>
      <c r="E9" s="96">
        <f t="shared" si="0"/>
        <v>1.1474463787631046E-2</v>
      </c>
      <c r="F9" s="89">
        <v>10.73</v>
      </c>
      <c r="G9" s="96">
        <f t="shared" ref="G9" si="20">+F9/F$16</f>
        <v>1.1486009120298013E-2</v>
      </c>
      <c r="H9" s="89">
        <v>11.56</v>
      </c>
      <c r="I9" s="96">
        <f t="shared" ref="I9" si="21">+H9/H$16</f>
        <v>1.203640074134233E-2</v>
      </c>
      <c r="J9" s="89">
        <v>10.91</v>
      </c>
      <c r="K9" s="96">
        <f t="shared" ref="K9" si="22">+J9/J$16</f>
        <v>1.1010748347378514E-2</v>
      </c>
      <c r="L9" s="89">
        <v>10.74</v>
      </c>
      <c r="M9" s="96">
        <f t="shared" ref="M9" si="23">+L9/L$16</f>
        <v>1.0538503807206218E-2</v>
      </c>
      <c r="N9" s="89">
        <v>11.46</v>
      </c>
      <c r="O9" s="96">
        <f t="shared" ref="O9:Q9" si="24">+N9/N$16</f>
        <v>9.7095604432846441E-3</v>
      </c>
      <c r="P9" s="89">
        <v>9.07</v>
      </c>
      <c r="Q9" s="96">
        <f t="shared" si="24"/>
        <v>8.6715426167598836E-3</v>
      </c>
      <c r="R9" s="89">
        <v>9.7799999999999994</v>
      </c>
      <c r="S9" s="96">
        <f t="shared" ref="S9" si="25">+R9/R$16</f>
        <v>1.0344937010122804E-2</v>
      </c>
      <c r="T9" s="89">
        <v>10.58</v>
      </c>
      <c r="U9" s="96">
        <f t="shared" ref="U9" si="26">+T9/T$16</f>
        <v>9.8941383309018825E-3</v>
      </c>
      <c r="V9" s="89">
        <v>10.83</v>
      </c>
      <c r="W9" s="96">
        <f t="shared" ref="W9" si="27">+V9/V$16</f>
        <v>1.0654100795860344E-2</v>
      </c>
      <c r="X9" s="89">
        <v>10.74</v>
      </c>
      <c r="Y9" s="96">
        <f t="shared" ref="Y9:AA9" si="28">+X9/X$16</f>
        <v>1.0469673042054159E-2</v>
      </c>
      <c r="Z9" s="89">
        <f t="shared" si="10"/>
        <v>129.19</v>
      </c>
      <c r="AA9" s="96">
        <f t="shared" si="28"/>
        <v>1.058989979802219E-2</v>
      </c>
      <c r="AC9" s="113">
        <v>135.10999999999999</v>
      </c>
    </row>
    <row r="10" spans="1:29" s="86" customFormat="1" ht="12" x14ac:dyDescent="0.2">
      <c r="A10" s="86" t="s">
        <v>16</v>
      </c>
      <c r="B10" s="89">
        <v>145.59</v>
      </c>
      <c r="C10" s="96">
        <f t="shared" si="0"/>
        <v>0.149811693523492</v>
      </c>
      <c r="D10" s="89">
        <v>153.06</v>
      </c>
      <c r="E10" s="96">
        <f t="shared" si="0"/>
        <v>0.1472155429450803</v>
      </c>
      <c r="F10" s="89">
        <v>137.80000000000001</v>
      </c>
      <c r="G10" s="96">
        <f t="shared" ref="G10" si="29">+F10/F$16</f>
        <v>0.14750904536598941</v>
      </c>
      <c r="H10" s="89">
        <v>146.28</v>
      </c>
      <c r="I10" s="96">
        <f t="shared" ref="I10" si="30">+H10/H$16</f>
        <v>0.15230836509027301</v>
      </c>
      <c r="J10" s="89">
        <v>152.07</v>
      </c>
      <c r="K10" s="96">
        <f t="shared" ref="K10" si="31">+J10/J$16</f>
        <v>0.15347428975122371</v>
      </c>
      <c r="L10" s="89">
        <v>163.24</v>
      </c>
      <c r="M10" s="96">
        <f t="shared" ref="M10" si="32">+L10/L$16</f>
        <v>0.16017740795980848</v>
      </c>
      <c r="N10" s="89">
        <v>204.09</v>
      </c>
      <c r="O10" s="96">
        <f t="shared" ref="O10:Q10" si="33">+N10/N$16</f>
        <v>0.17291659606195137</v>
      </c>
      <c r="P10" s="89">
        <v>156.76</v>
      </c>
      <c r="Q10" s="96">
        <f t="shared" si="33"/>
        <v>0.14987332090444092</v>
      </c>
      <c r="R10" s="89">
        <v>148.22</v>
      </c>
      <c r="S10" s="96">
        <f t="shared" ref="S10" si="34">+R10/R$16</f>
        <v>0.15678185722294502</v>
      </c>
      <c r="T10" s="89">
        <v>181.59</v>
      </c>
      <c r="U10" s="96">
        <f t="shared" ref="U10" si="35">+T10/T$16</f>
        <v>0.16981820222197286</v>
      </c>
      <c r="V10" s="89">
        <v>162.53</v>
      </c>
      <c r="W10" s="96">
        <f t="shared" ref="W10" si="36">+V10/V$16</f>
        <v>0.1598902125901368</v>
      </c>
      <c r="X10" s="89">
        <v>164.93</v>
      </c>
      <c r="Y10" s="96">
        <f t="shared" ref="Y10:AA10" si="37">+X10/X$16</f>
        <v>0.1607786941178764</v>
      </c>
      <c r="Z10" s="89">
        <f t="shared" si="10"/>
        <v>1916.1599999999999</v>
      </c>
      <c r="AA10" s="96">
        <f t="shared" si="37"/>
        <v>0.1570705348477297</v>
      </c>
      <c r="AC10" s="113">
        <v>1717.38</v>
      </c>
    </row>
    <row r="11" spans="1:29" s="86" customFormat="1" ht="12" x14ac:dyDescent="0.2">
      <c r="A11" s="86" t="s">
        <v>23</v>
      </c>
      <c r="B11" s="89">
        <v>23.11</v>
      </c>
      <c r="C11" s="96">
        <f t="shared" si="0"/>
        <v>2.378012389125558E-2</v>
      </c>
      <c r="D11" s="89">
        <v>24.88</v>
      </c>
      <c r="E11" s="96">
        <f t="shared" si="0"/>
        <v>2.3929979801865921E-2</v>
      </c>
      <c r="F11" s="89">
        <v>22.58</v>
      </c>
      <c r="G11" s="96">
        <f t="shared" ref="G11" si="38">+F11/F$16</f>
        <v>2.4170930655762268E-2</v>
      </c>
      <c r="H11" s="89">
        <v>21.11</v>
      </c>
      <c r="I11" s="96">
        <f t="shared" ref="I11" si="39">+H11/H$16</f>
        <v>2.1979967097728079E-2</v>
      </c>
      <c r="J11" s="89">
        <v>23.87</v>
      </c>
      <c r="K11" s="96">
        <f t="shared" ref="K11" si="40">+J11/J$16</f>
        <v>2.4090427410808905E-2</v>
      </c>
      <c r="L11" s="89">
        <v>27.74</v>
      </c>
      <c r="M11" s="96">
        <f t="shared" ref="M11" si="41">+L11/L$16</f>
        <v>2.7219561975037287E-2</v>
      </c>
      <c r="N11" s="89">
        <v>21.88</v>
      </c>
      <c r="O11" s="96">
        <f t="shared" ref="O11:Q11" si="42">+N11/N$16</f>
        <v>1.8537974040058289E-2</v>
      </c>
      <c r="P11" s="89">
        <v>25</v>
      </c>
      <c r="Q11" s="96">
        <f t="shared" si="42"/>
        <v>2.3901716143219082E-2</v>
      </c>
      <c r="R11" s="89">
        <v>23</v>
      </c>
      <c r="S11" s="96">
        <f t="shared" ref="S11" si="43">+R11/R$16</f>
        <v>2.4328583970636454E-2</v>
      </c>
      <c r="T11" s="89">
        <v>23.48</v>
      </c>
      <c r="U11" s="96">
        <f t="shared" ref="U11" si="44">+T11/T$16</f>
        <v>2.1957879774062022E-2</v>
      </c>
      <c r="V11" s="89">
        <v>21.1</v>
      </c>
      <c r="W11" s="96">
        <f t="shared" ref="W11" si="45">+V11/V$16</f>
        <v>2.07572970260991E-2</v>
      </c>
      <c r="X11" s="89">
        <v>20.57</v>
      </c>
      <c r="Y11" s="96">
        <f t="shared" ref="Y11:AA11" si="46">+X11/X$16</f>
        <v>2.005225088222105E-2</v>
      </c>
      <c r="Z11" s="89">
        <f t="shared" si="10"/>
        <v>278.32</v>
      </c>
      <c r="AA11" s="96">
        <f t="shared" si="46"/>
        <v>2.2814311570443037E-2</v>
      </c>
      <c r="AC11" s="113">
        <v>324.16000000000003</v>
      </c>
    </row>
    <row r="12" spans="1:29" s="86" customFormat="1" ht="12" x14ac:dyDescent="0.2">
      <c r="A12" s="86" t="s">
        <v>1</v>
      </c>
      <c r="B12" s="89">
        <v>31.52</v>
      </c>
      <c r="C12" s="96">
        <f t="shared" si="0"/>
        <v>3.2433989833508259E-2</v>
      </c>
      <c r="D12" s="89">
        <v>33.97</v>
      </c>
      <c r="E12" s="96">
        <f t="shared" si="0"/>
        <v>3.2672886409541212E-2</v>
      </c>
      <c r="F12" s="89">
        <v>30.65</v>
      </c>
      <c r="G12" s="96">
        <f t="shared" ref="G12" si="47">+F12/F$16</f>
        <v>3.2809522790040457E-2</v>
      </c>
      <c r="H12" s="89">
        <v>32.14</v>
      </c>
      <c r="I12" s="96">
        <f t="shared" ref="I12" si="48">+H12/H$16</f>
        <v>3.3464525936569421E-2</v>
      </c>
      <c r="J12" s="89">
        <v>32.4</v>
      </c>
      <c r="K12" s="96">
        <f t="shared" ref="K12" si="49">+J12/J$16</f>
        <v>3.2699197658575971E-2</v>
      </c>
      <c r="L12" s="89">
        <v>33.549999999999997</v>
      </c>
      <c r="M12" s="96">
        <f t="shared" ref="M12" si="50">+L12/L$16</f>
        <v>3.2920558913572498E-2</v>
      </c>
      <c r="N12" s="89">
        <v>29.7</v>
      </c>
      <c r="O12" s="96">
        <f t="shared" ref="O12:Q12" si="51">+N12/N$16</f>
        <v>2.5163520520554442E-2</v>
      </c>
      <c r="P12" s="89">
        <v>26.4</v>
      </c>
      <c r="Q12" s="96">
        <f t="shared" si="51"/>
        <v>2.5240212247239349E-2</v>
      </c>
      <c r="R12" s="89">
        <v>27.89</v>
      </c>
      <c r="S12" s="96">
        <f t="shared" ref="S12" si="52">+R12/R$16</f>
        <v>2.9501052475697856E-2</v>
      </c>
      <c r="T12" s="89">
        <v>28.48</v>
      </c>
      <c r="U12" s="96">
        <f t="shared" ref="U12" si="53">+T12/T$16</f>
        <v>2.6633748550480681E-2</v>
      </c>
      <c r="V12" s="89">
        <v>31.82</v>
      </c>
      <c r="W12" s="96">
        <f t="shared" ref="W12" si="54">+V12/V$16</f>
        <v>3.130318442514092E-2</v>
      </c>
      <c r="X12" s="89">
        <v>31.89</v>
      </c>
      <c r="Y12" s="96">
        <f t="shared" ref="Y12:AA12" si="55">+X12/X$16</f>
        <v>3.1087325261741822E-2</v>
      </c>
      <c r="Z12" s="89">
        <f t="shared" si="10"/>
        <v>370.40999999999997</v>
      </c>
      <c r="AA12" s="96">
        <f t="shared" si="55"/>
        <v>3.0363068226529913E-2</v>
      </c>
      <c r="AC12" s="113">
        <v>326.99999999999994</v>
      </c>
    </row>
    <row r="13" spans="1:29" s="86" customFormat="1" ht="12" x14ac:dyDescent="0.2">
      <c r="A13" s="86" t="s">
        <v>73</v>
      </c>
      <c r="B13" s="89">
        <v>10.76</v>
      </c>
      <c r="C13" s="96">
        <f t="shared" si="0"/>
        <v>1.1072009219814369E-2</v>
      </c>
      <c r="D13" s="89">
        <v>11.48</v>
      </c>
      <c r="E13" s="96">
        <f t="shared" si="0"/>
        <v>1.1041646628835241E-2</v>
      </c>
      <c r="F13" s="89">
        <v>10.32</v>
      </c>
      <c r="G13" s="96">
        <f t="shared" ref="G13" si="56">+F13/F$16</f>
        <v>1.1047121539746086E-2</v>
      </c>
      <c r="H13" s="89">
        <v>9.44</v>
      </c>
      <c r="I13" s="96">
        <f t="shared" ref="I13" si="57">+H13/H$16</f>
        <v>9.8290331313383734E-3</v>
      </c>
      <c r="J13" s="89">
        <v>11.12</v>
      </c>
      <c r="K13" s="96">
        <f t="shared" ref="K13" si="58">+J13/J$16</f>
        <v>1.1222687591461876E-2</v>
      </c>
      <c r="L13" s="89">
        <v>9.32</v>
      </c>
      <c r="M13" s="96">
        <f t="shared" ref="M13" si="59">+L13/L$16</f>
        <v>9.1451448308344473E-3</v>
      </c>
      <c r="N13" s="89">
        <v>9.51</v>
      </c>
      <c r="O13" s="96">
        <f t="shared" ref="O13:Q13" si="60">+N13/N$16</f>
        <v>8.0574101060765235E-3</v>
      </c>
      <c r="P13" s="89">
        <v>9.19</v>
      </c>
      <c r="Q13" s="96">
        <f t="shared" si="60"/>
        <v>8.7862708542473349E-3</v>
      </c>
      <c r="R13" s="89">
        <v>10.1</v>
      </c>
      <c r="S13" s="96">
        <f t="shared" ref="S13" si="61">+R13/R$16</f>
        <v>1.0683421656670791E-2</v>
      </c>
      <c r="T13" s="89">
        <v>10.23</v>
      </c>
      <c r="U13" s="96">
        <f t="shared" ref="U13" si="62">+T13/T$16</f>
        <v>9.5668275165525767E-3</v>
      </c>
      <c r="V13" s="89">
        <v>10.72</v>
      </c>
      <c r="W13" s="96">
        <f t="shared" ref="W13" si="63">+V13/V$16</f>
        <v>1.0545887399041817E-2</v>
      </c>
      <c r="X13" s="89">
        <v>9.7200000000000006</v>
      </c>
      <c r="Y13" s="96">
        <f t="shared" ref="Y13:AA13" si="64">+X13/X$16</f>
        <v>9.47534655202667E-3</v>
      </c>
      <c r="Z13" s="89">
        <f t="shared" si="10"/>
        <v>121.91</v>
      </c>
      <c r="AA13" s="96">
        <f t="shared" si="64"/>
        <v>9.9931471814914876E-3</v>
      </c>
      <c r="AC13" s="113">
        <v>138.6</v>
      </c>
    </row>
    <row r="14" spans="1:29" s="86" customFormat="1" ht="12" x14ac:dyDescent="0.2">
      <c r="A14" s="86" t="s">
        <v>74</v>
      </c>
      <c r="B14" s="89">
        <v>7.24</v>
      </c>
      <c r="C14" s="96">
        <f t="shared" si="0"/>
        <v>7.4499392891687758E-3</v>
      </c>
      <c r="D14" s="89">
        <v>7.73</v>
      </c>
      <c r="E14" s="96">
        <f t="shared" si="0"/>
        <v>7.4348369722035202E-3</v>
      </c>
      <c r="F14" s="89">
        <v>6.84</v>
      </c>
      <c r="G14" s="96">
        <f t="shared" ref="G14" si="65">+F14/F$16</f>
        <v>7.3219293926224055E-3</v>
      </c>
      <c r="H14" s="89">
        <v>7.21</v>
      </c>
      <c r="I14" s="96">
        <f t="shared" ref="I14" si="66">+H14/H$16</f>
        <v>7.5071322962870415E-3</v>
      </c>
      <c r="J14" s="89">
        <v>7.34</v>
      </c>
      <c r="K14" s="96">
        <f t="shared" ref="K14" si="67">+J14/J$16</f>
        <v>7.4077811979613465E-3</v>
      </c>
      <c r="L14" s="89">
        <v>8.66</v>
      </c>
      <c r="M14" s="96">
        <f t="shared" ref="M14" si="68">+L14/L$16</f>
        <v>8.4975272784362996E-3</v>
      </c>
      <c r="N14" s="89">
        <v>7.16</v>
      </c>
      <c r="O14" s="96">
        <f t="shared" ref="O14:Q14" si="69">+N14/N$16</f>
        <v>6.0663571355949429E-3</v>
      </c>
      <c r="P14" s="89">
        <v>7.68</v>
      </c>
      <c r="Q14" s="96">
        <f t="shared" si="69"/>
        <v>7.3426071991969022E-3</v>
      </c>
      <c r="R14" s="89">
        <v>6.87</v>
      </c>
      <c r="S14" s="96">
        <f t="shared" ref="S14" si="70">+R14/R$16</f>
        <v>7.2668422555770629E-3</v>
      </c>
      <c r="T14" s="89">
        <v>6.98</v>
      </c>
      <c r="U14" s="96">
        <f t="shared" ref="U14" si="71">+T14/T$16</f>
        <v>6.5275128118804484E-3</v>
      </c>
      <c r="V14" s="89">
        <v>8.84</v>
      </c>
      <c r="W14" s="96">
        <f t="shared" ref="W14" si="72">+V14/V$16</f>
        <v>8.6964220715979156E-3</v>
      </c>
      <c r="X14" s="89">
        <v>11.43</v>
      </c>
      <c r="Y14" s="96">
        <f t="shared" ref="Y14:AA14" si="73">+X14/X$16</f>
        <v>1.1142305667660991E-2</v>
      </c>
      <c r="Z14" s="89">
        <f t="shared" si="10"/>
        <v>93.97999999999999</v>
      </c>
      <c r="AA14" s="96">
        <f t="shared" si="73"/>
        <v>7.7036828161477309E-3</v>
      </c>
      <c r="AC14" s="113">
        <v>84.22999999999999</v>
      </c>
    </row>
    <row r="15" spans="1:29" s="86" customFormat="1" ht="14.25" x14ac:dyDescent="0.35">
      <c r="A15" s="86" t="s">
        <v>75</v>
      </c>
      <c r="B15" s="89">
        <v>3.2</v>
      </c>
      <c r="C15" s="96">
        <f t="shared" si="0"/>
        <v>3.2927908460414481E-3</v>
      </c>
      <c r="D15" s="89">
        <v>3.64</v>
      </c>
      <c r="E15" s="96">
        <f t="shared" si="0"/>
        <v>3.5010099067038568E-3</v>
      </c>
      <c r="F15" s="89">
        <v>3.37</v>
      </c>
      <c r="G15" s="96">
        <f t="shared" ref="G15" si="74">+F15/F$16</f>
        <v>3.6074418206341386E-3</v>
      </c>
      <c r="H15" s="89">
        <v>4.88</v>
      </c>
      <c r="I15" s="96">
        <f t="shared" ref="I15" si="75">+H15/H$16</f>
        <v>5.0811103475562778E-3</v>
      </c>
      <c r="J15" s="89">
        <v>4.54</v>
      </c>
      <c r="K15" s="96">
        <f t="shared" ref="K15" si="76">+J15/J$16</f>
        <v>4.5819246101831768E-3</v>
      </c>
      <c r="L15" s="89">
        <v>4.0599999999999996</v>
      </c>
      <c r="M15" s="96">
        <f t="shared" ref="M15" si="77">+L15/L$16</f>
        <v>3.9838291859643615E-3</v>
      </c>
      <c r="N15" s="89">
        <v>4.5599999999999996</v>
      </c>
      <c r="O15" s="96">
        <f t="shared" ref="O15:Q15" si="78">+N15/N$16</f>
        <v>3.8634900193174489E-3</v>
      </c>
      <c r="P15" s="89">
        <v>3.37</v>
      </c>
      <c r="Q15" s="96">
        <f t="shared" si="78"/>
        <v>3.2219513361059324E-3</v>
      </c>
      <c r="R15" s="89">
        <v>0.1</v>
      </c>
      <c r="S15" s="96">
        <f t="shared" ref="S15" si="79">+R15/R$16</f>
        <v>1.0577645204624546E-4</v>
      </c>
      <c r="T15" s="89">
        <v>3.84</v>
      </c>
      <c r="U15" s="96">
        <f t="shared" ref="U15" si="80">+T15/T$16</f>
        <v>3.59106722028953E-3</v>
      </c>
      <c r="V15" s="89">
        <v>3.98</v>
      </c>
      <c r="W15" s="96">
        <f t="shared" ref="W15" si="81">+V15/V$16</f>
        <v>3.9153574485248539E-3</v>
      </c>
      <c r="X15" s="89">
        <v>1.83</v>
      </c>
      <c r="Y15" s="96">
        <f t="shared" ref="Y15:AA15" si="82">+X15/X$16</f>
        <v>1.7839387026963793E-3</v>
      </c>
      <c r="Z15" s="89">
        <f t="shared" si="10"/>
        <v>41.37</v>
      </c>
      <c r="AA15" s="96">
        <f t="shared" si="82"/>
        <v>3.3911615035542844E-3</v>
      </c>
      <c r="AC15" s="146">
        <v>56.269999999999996</v>
      </c>
    </row>
    <row r="16" spans="1:29" s="102" customFormat="1" thickBot="1" x14ac:dyDescent="0.25">
      <c r="B16" s="103">
        <f>SUM(B6:B15)</f>
        <v>971.82</v>
      </c>
      <c r="C16" s="117">
        <f t="shared" ref="C16:N16" si="83">SUM(C6:C15)</f>
        <v>1</v>
      </c>
      <c r="D16" s="103">
        <f t="shared" si="83"/>
        <v>1039.7</v>
      </c>
      <c r="E16" s="117">
        <f t="shared" si="83"/>
        <v>1</v>
      </c>
      <c r="F16" s="103">
        <f t="shared" si="83"/>
        <v>934.18000000000018</v>
      </c>
      <c r="G16" s="117">
        <f t="shared" si="83"/>
        <v>0.99999999999999967</v>
      </c>
      <c r="H16" s="103">
        <f t="shared" si="83"/>
        <v>960.42</v>
      </c>
      <c r="I16" s="117">
        <f t="shared" si="83"/>
        <v>1.0000000000000002</v>
      </c>
      <c r="J16" s="103">
        <f t="shared" si="83"/>
        <v>990.84999999999991</v>
      </c>
      <c r="K16" s="117">
        <f t="shared" si="83"/>
        <v>1</v>
      </c>
      <c r="L16" s="103">
        <f t="shared" si="83"/>
        <v>1019.1199999999999</v>
      </c>
      <c r="M16" s="117">
        <f t="shared" si="83"/>
        <v>1.0000000000000002</v>
      </c>
      <c r="N16" s="103">
        <f t="shared" si="83"/>
        <v>1180.2800000000002</v>
      </c>
      <c r="O16" s="117">
        <f t="shared" ref="O16:AA16" si="84">SUM(O6:O15)</f>
        <v>0.99999999999999978</v>
      </c>
      <c r="P16" s="103">
        <f t="shared" ref="P16" si="85">SUM(P6:P15)</f>
        <v>1045.95</v>
      </c>
      <c r="Q16" s="117">
        <f t="shared" si="84"/>
        <v>0.99999999999999989</v>
      </c>
      <c r="R16" s="103">
        <f t="shared" ref="R16" si="86">SUM(R6:R15)</f>
        <v>945.3900000000001</v>
      </c>
      <c r="S16" s="117">
        <f t="shared" si="84"/>
        <v>1</v>
      </c>
      <c r="T16" s="103">
        <f t="shared" ref="T16" si="87">SUM(T6:T15)</f>
        <v>1069.32</v>
      </c>
      <c r="U16" s="117">
        <f t="shared" si="84"/>
        <v>1.0000000000000002</v>
      </c>
      <c r="V16" s="103">
        <f t="shared" ref="V16" si="88">SUM(V6:V15)</f>
        <v>1016.5100000000002</v>
      </c>
      <c r="W16" s="117">
        <f t="shared" si="84"/>
        <v>0.99999999999999978</v>
      </c>
      <c r="X16" s="103">
        <f t="shared" ref="X16" si="89">SUM(X6:X15)</f>
        <v>1025.8200000000002</v>
      </c>
      <c r="Y16" s="117">
        <f t="shared" si="84"/>
        <v>0.99999999999999978</v>
      </c>
      <c r="Z16" s="103">
        <f t="shared" ref="Z16" si="90">SUM(Z6:Z15)</f>
        <v>12199.36</v>
      </c>
      <c r="AA16" s="117">
        <f t="shared" si="84"/>
        <v>0.99999999999999978</v>
      </c>
      <c r="AC16" s="145">
        <f>SUM(AC6:AC15)</f>
        <v>11317.980000000001</v>
      </c>
    </row>
    <row r="17" spans="1:29" s="86" customFormat="1" thickTop="1" x14ac:dyDescent="0.2"/>
    <row r="18" spans="1:29" s="86" customFormat="1" ht="12" x14ac:dyDescent="0.2">
      <c r="A18" s="86" t="s">
        <v>76</v>
      </c>
      <c r="B18" s="113">
        <v>75.614999999999995</v>
      </c>
      <c r="C18" s="96">
        <f t="shared" ref="C18:AA18" si="91">+B18/B$16</f>
        <v>7.7807618694820016E-2</v>
      </c>
      <c r="D18" s="113">
        <v>77.607241000000002</v>
      </c>
      <c r="E18" s="96">
        <f t="shared" si="91"/>
        <v>7.4643879003558719E-2</v>
      </c>
      <c r="F18" s="113">
        <v>70.585650000000001</v>
      </c>
      <c r="G18" s="96">
        <f t="shared" si="91"/>
        <v>7.5558939390695565E-2</v>
      </c>
      <c r="H18" s="113">
        <v>84.119853999999989</v>
      </c>
      <c r="I18" s="96">
        <f t="shared" si="91"/>
        <v>8.7586528810312148E-2</v>
      </c>
      <c r="J18" s="113">
        <v>73.444760000000002</v>
      </c>
      <c r="K18" s="96">
        <f t="shared" si="91"/>
        <v>7.4122985315638101E-2</v>
      </c>
      <c r="L18" s="113">
        <v>60.953167999999998</v>
      </c>
      <c r="M18" s="96">
        <f t="shared" si="91"/>
        <v>5.9809608289504677E-2</v>
      </c>
      <c r="N18" s="113">
        <v>104.97747000000001</v>
      </c>
      <c r="O18" s="96">
        <f t="shared" si="91"/>
        <v>8.8942852543464263E-2</v>
      </c>
      <c r="P18" s="113">
        <v>104.08</v>
      </c>
      <c r="Q18" s="96">
        <f t="shared" si="91"/>
        <v>9.950762464744968E-2</v>
      </c>
      <c r="R18" s="113">
        <v>84.93</v>
      </c>
      <c r="S18" s="96">
        <f t="shared" si="91"/>
        <v>8.9835940722876276E-2</v>
      </c>
      <c r="T18" s="113">
        <v>79.75</v>
      </c>
      <c r="U18" s="96">
        <f t="shared" si="91"/>
        <v>7.4580106983877612E-2</v>
      </c>
      <c r="V18" s="113">
        <v>70.819999999999993</v>
      </c>
      <c r="W18" s="96">
        <f t="shared" si="91"/>
        <v>6.9669752388072895E-2</v>
      </c>
      <c r="X18" s="113">
        <v>97.61</v>
      </c>
      <c r="Y18" s="96">
        <f t="shared" si="91"/>
        <v>9.5153145776062056E-2</v>
      </c>
      <c r="Z18" s="89">
        <f t="shared" ref="Z18" si="92">+X18+V18+T18+R18+P18+N18+L18+J18+H18+F18+D18+B18</f>
        <v>984.49314300000003</v>
      </c>
      <c r="AA18" s="96">
        <f t="shared" si="91"/>
        <v>8.0700392725520029E-2</v>
      </c>
      <c r="AC18" s="113">
        <f>+[1]Composition!$Z$19</f>
        <v>854.62</v>
      </c>
    </row>
    <row r="20" spans="1:29" ht="12" x14ac:dyDescent="0.2">
      <c r="A20" s="87" t="s">
        <v>105</v>
      </c>
      <c r="B20" s="145">
        <f>+B18+B16</f>
        <v>1047.4349999999999</v>
      </c>
      <c r="C20" s="145"/>
      <c r="D20" s="145">
        <f t="shared" ref="C20:Z20" si="93">+D18+D16</f>
        <v>1117.307241</v>
      </c>
      <c r="E20" s="145"/>
      <c r="F20" s="145">
        <f t="shared" si="93"/>
        <v>1004.7656500000002</v>
      </c>
      <c r="G20" s="145"/>
      <c r="H20" s="145">
        <f t="shared" si="93"/>
        <v>1044.5398539999999</v>
      </c>
      <c r="I20" s="145"/>
      <c r="J20" s="145">
        <f t="shared" si="93"/>
        <v>1064.29476</v>
      </c>
      <c r="K20" s="145"/>
      <c r="L20" s="145">
        <f t="shared" si="93"/>
        <v>1080.0731679999999</v>
      </c>
      <c r="M20" s="145"/>
      <c r="N20" s="145">
        <f t="shared" si="93"/>
        <v>1285.2574700000002</v>
      </c>
      <c r="O20" s="145"/>
      <c r="P20" s="145">
        <f t="shared" si="93"/>
        <v>1150.03</v>
      </c>
      <c r="Q20" s="145"/>
      <c r="R20" s="145">
        <f t="shared" si="93"/>
        <v>1030.3200000000002</v>
      </c>
      <c r="S20" s="145"/>
      <c r="T20" s="145">
        <f t="shared" si="93"/>
        <v>1149.07</v>
      </c>
      <c r="U20" s="145"/>
      <c r="V20" s="145">
        <f t="shared" si="93"/>
        <v>1087.3300000000002</v>
      </c>
      <c r="W20" s="145"/>
      <c r="X20" s="145">
        <f t="shared" si="93"/>
        <v>1123.43</v>
      </c>
      <c r="Y20" s="145"/>
      <c r="Z20" s="145">
        <f t="shared" si="93"/>
        <v>13183.853143</v>
      </c>
      <c r="AA20" s="85"/>
      <c r="AB20" s="85"/>
      <c r="AC20" s="147">
        <f>+AC18+AC16</f>
        <v>12172.600000000002</v>
      </c>
    </row>
    <row r="21" spans="1:29" ht="12" x14ac:dyDescent="0.2">
      <c r="A21" s="86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86"/>
      <c r="P21" s="92"/>
      <c r="Q21" s="93"/>
      <c r="R21" s="92"/>
      <c r="S21" s="93"/>
      <c r="T21" s="92"/>
      <c r="U21" s="93"/>
      <c r="V21" s="92"/>
      <c r="W21" s="86"/>
      <c r="X21" s="92"/>
      <c r="Y21" s="86"/>
      <c r="Z21" s="85"/>
      <c r="AA21" s="85"/>
      <c r="AB21" s="85"/>
    </row>
    <row r="22" spans="1:29" ht="12" x14ac:dyDescent="0.2">
      <c r="A22" s="86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86"/>
      <c r="P22" s="93"/>
      <c r="Q22" s="93"/>
      <c r="R22" s="93"/>
      <c r="S22" s="93"/>
      <c r="T22" s="93"/>
      <c r="U22" s="93"/>
      <c r="V22" s="93"/>
      <c r="W22" s="86"/>
      <c r="X22" s="93"/>
      <c r="Y22" s="86"/>
      <c r="Z22" s="85"/>
      <c r="AA22" s="85"/>
      <c r="AB22" s="85"/>
    </row>
    <row r="23" spans="1:29" ht="12" x14ac:dyDescent="0.2">
      <c r="A23" s="86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96"/>
      <c r="P23" s="94"/>
      <c r="Q23" s="95"/>
      <c r="R23" s="94"/>
      <c r="S23" s="90"/>
      <c r="T23" s="94"/>
      <c r="U23" s="90"/>
      <c r="V23" s="94"/>
      <c r="W23" s="96"/>
      <c r="X23" s="94"/>
      <c r="Y23" s="96"/>
      <c r="Z23" s="85"/>
      <c r="AA23" s="85"/>
      <c r="AB23" s="85"/>
    </row>
    <row r="24" spans="1:29" ht="12" x14ac:dyDescent="0.2">
      <c r="A24" s="86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96"/>
      <c r="P24" s="94"/>
      <c r="Q24" s="95"/>
      <c r="R24" s="94"/>
      <c r="S24" s="90"/>
      <c r="T24" s="94"/>
      <c r="U24" s="90"/>
      <c r="V24" s="94"/>
      <c r="W24" s="96"/>
      <c r="X24" s="94"/>
      <c r="Y24" s="96"/>
      <c r="Z24" s="85"/>
      <c r="AA24" s="85"/>
      <c r="AB24" s="85"/>
    </row>
    <row r="25" spans="1:29" ht="12" x14ac:dyDescent="0.2">
      <c r="A25" s="86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96"/>
      <c r="P25" s="97"/>
      <c r="Q25" s="90"/>
      <c r="R25" s="86"/>
      <c r="S25" s="90"/>
      <c r="T25" s="86"/>
      <c r="U25" s="90"/>
      <c r="V25" s="94"/>
      <c r="W25" s="96"/>
      <c r="X25" s="94"/>
      <c r="Y25" s="96"/>
      <c r="Z25" s="85"/>
      <c r="AA25" s="85"/>
      <c r="AB25" s="85"/>
    </row>
    <row r="26" spans="1:29" ht="12" x14ac:dyDescent="0.2">
      <c r="A26" s="8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98"/>
      <c r="P26" s="86"/>
      <c r="Q26" s="91"/>
      <c r="R26" s="86"/>
      <c r="S26" s="91"/>
      <c r="T26" s="86"/>
      <c r="U26" s="91"/>
      <c r="V26" s="86"/>
      <c r="W26" s="91"/>
      <c r="X26" s="86"/>
      <c r="Y26" s="98"/>
      <c r="Z26" s="85"/>
      <c r="AA26" s="85"/>
      <c r="AB26" s="85"/>
    </row>
    <row r="27" spans="1:29" x14ac:dyDescent="0.2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29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29" ht="12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P29" s="99"/>
      <c r="Z29" s="85"/>
      <c r="AA29" s="85"/>
      <c r="AB29" s="85"/>
    </row>
    <row r="30" spans="1:29" ht="12" x14ac:dyDescent="0.2">
      <c r="P30" s="99"/>
      <c r="Z30" s="85"/>
      <c r="AA30" s="85"/>
      <c r="AB30" s="85"/>
    </row>
    <row r="31" spans="1:29" ht="12" x14ac:dyDescent="0.2">
      <c r="P31" s="99"/>
      <c r="Z31" s="85"/>
      <c r="AA31" s="85"/>
      <c r="AB31" s="85"/>
    </row>
    <row r="32" spans="1:29" ht="12" x14ac:dyDescent="0.2">
      <c r="P32" s="99"/>
      <c r="Z32" s="85"/>
      <c r="AA32" s="85"/>
      <c r="AB32" s="85"/>
    </row>
    <row r="33" spans="1:28" ht="12" x14ac:dyDescent="0.2">
      <c r="P33" s="99"/>
      <c r="Z33" s="85"/>
      <c r="AA33" s="85"/>
      <c r="AB33" s="85"/>
    </row>
    <row r="34" spans="1:28" ht="12" x14ac:dyDescent="0.2">
      <c r="P34" s="99"/>
      <c r="Z34" s="85"/>
      <c r="AA34" s="85"/>
      <c r="AB34" s="85"/>
    </row>
    <row r="35" spans="1:28" ht="12" x14ac:dyDescent="0.2">
      <c r="P35" s="99"/>
      <c r="Z35" s="85"/>
      <c r="AA35" s="85"/>
      <c r="AB35" s="85"/>
    </row>
    <row r="36" spans="1:28" ht="12" x14ac:dyDescent="0.2">
      <c r="P36" s="99"/>
      <c r="Z36" s="85"/>
      <c r="AA36" s="85"/>
      <c r="AB36" s="85"/>
    </row>
    <row r="37" spans="1:28" ht="12" x14ac:dyDescent="0.2">
      <c r="P37" s="99"/>
      <c r="Q37" s="100"/>
      <c r="Z37" s="85"/>
      <c r="AA37" s="85"/>
      <c r="AB37" s="85"/>
    </row>
    <row r="38" spans="1:28" ht="12" x14ac:dyDescent="0.2">
      <c r="A38" s="101"/>
      <c r="P38" s="99"/>
      <c r="Z38" s="85"/>
      <c r="AA38" s="85"/>
      <c r="AB38" s="85"/>
    </row>
    <row r="39" spans="1:28" ht="12" x14ac:dyDescent="0.2">
      <c r="A39" s="101"/>
      <c r="P39" s="99"/>
      <c r="Z39" s="85"/>
      <c r="AA39" s="85"/>
      <c r="AB39" s="85"/>
    </row>
    <row r="40" spans="1:28" ht="12" x14ac:dyDescent="0.2">
      <c r="A40" s="101"/>
      <c r="P40" s="99"/>
      <c r="Z40" s="85"/>
      <c r="AA40" s="85"/>
      <c r="AB40" s="85"/>
    </row>
    <row r="41" spans="1:28" ht="12" x14ac:dyDescent="0.2">
      <c r="A41" s="101"/>
      <c r="P41" s="99"/>
      <c r="Z41" s="85"/>
      <c r="AA41" s="85"/>
      <c r="AB41" s="85"/>
    </row>
  </sheetData>
  <mergeCells count="13">
    <mergeCell ref="X4:Y4"/>
    <mergeCell ref="B4:C4"/>
    <mergeCell ref="Z4:AA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2" right="0.2" top="0.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J19" sqref="J19"/>
    </sheetView>
  </sheetViews>
  <sheetFormatPr defaultRowHeight="12" x14ac:dyDescent="0.2"/>
  <cols>
    <col min="1" max="1" width="9.140625" style="86" customWidth="1"/>
    <col min="2" max="11" width="14.7109375" style="86" customWidth="1"/>
    <col min="12" max="12" width="9.140625" style="86"/>
    <col min="13" max="13" width="17.28515625" style="86" customWidth="1"/>
    <col min="14" max="14" width="10.42578125" style="86" bestFit="1" customWidth="1"/>
    <col min="15" max="255" width="9.140625" style="86"/>
    <col min="256" max="256" width="12.140625" style="86" customWidth="1"/>
    <col min="257" max="257" width="13.5703125" style="86" customWidth="1"/>
    <col min="258" max="258" width="10.7109375" style="86" customWidth="1"/>
    <col min="259" max="260" width="12.140625" style="86" customWidth="1"/>
    <col min="261" max="261" width="10" style="86" customWidth="1"/>
    <col min="262" max="262" width="10.85546875" style="86" customWidth="1"/>
    <col min="263" max="263" width="9.5703125" style="86" customWidth="1"/>
    <col min="264" max="264" width="10.140625" style="86" customWidth="1"/>
    <col min="265" max="265" width="11.5703125" style="86" customWidth="1"/>
    <col min="266" max="266" width="13.42578125" style="86" customWidth="1"/>
    <col min="267" max="267" width="15.140625" style="86" customWidth="1"/>
    <col min="268" max="268" width="9.140625" style="86"/>
    <col min="269" max="269" width="17.28515625" style="86" customWidth="1"/>
    <col min="270" max="270" width="10.42578125" style="86" bestFit="1" customWidth="1"/>
    <col min="271" max="511" width="9.140625" style="86"/>
    <col min="512" max="512" width="12.140625" style="86" customWidth="1"/>
    <col min="513" max="513" width="13.5703125" style="86" customWidth="1"/>
    <col min="514" max="514" width="10.7109375" style="86" customWidth="1"/>
    <col min="515" max="516" width="12.140625" style="86" customWidth="1"/>
    <col min="517" max="517" width="10" style="86" customWidth="1"/>
    <col min="518" max="518" width="10.85546875" style="86" customWidth="1"/>
    <col min="519" max="519" width="9.5703125" style="86" customWidth="1"/>
    <col min="520" max="520" width="10.140625" style="86" customWidth="1"/>
    <col min="521" max="521" width="11.5703125" style="86" customWidth="1"/>
    <col min="522" max="522" width="13.42578125" style="86" customWidth="1"/>
    <col min="523" max="523" width="15.140625" style="86" customWidth="1"/>
    <col min="524" max="524" width="9.140625" style="86"/>
    <col min="525" max="525" width="17.28515625" style="86" customWidth="1"/>
    <col min="526" max="526" width="10.42578125" style="86" bestFit="1" customWidth="1"/>
    <col min="527" max="767" width="9.140625" style="86"/>
    <col min="768" max="768" width="12.140625" style="86" customWidth="1"/>
    <col min="769" max="769" width="13.5703125" style="86" customWidth="1"/>
    <col min="770" max="770" width="10.7109375" style="86" customWidth="1"/>
    <col min="771" max="772" width="12.140625" style="86" customWidth="1"/>
    <col min="773" max="773" width="10" style="86" customWidth="1"/>
    <col min="774" max="774" width="10.85546875" style="86" customWidth="1"/>
    <col min="775" max="775" width="9.5703125" style="86" customWidth="1"/>
    <col min="776" max="776" width="10.140625" style="86" customWidth="1"/>
    <col min="777" max="777" width="11.5703125" style="86" customWidth="1"/>
    <col min="778" max="778" width="13.42578125" style="86" customWidth="1"/>
    <col min="779" max="779" width="15.140625" style="86" customWidth="1"/>
    <col min="780" max="780" width="9.140625" style="86"/>
    <col min="781" max="781" width="17.28515625" style="86" customWidth="1"/>
    <col min="782" max="782" width="10.42578125" style="86" bestFit="1" customWidth="1"/>
    <col min="783" max="1023" width="9.140625" style="86"/>
    <col min="1024" max="1024" width="12.140625" style="86" customWidth="1"/>
    <col min="1025" max="1025" width="13.5703125" style="86" customWidth="1"/>
    <col min="1026" max="1026" width="10.7109375" style="86" customWidth="1"/>
    <col min="1027" max="1028" width="12.140625" style="86" customWidth="1"/>
    <col min="1029" max="1029" width="10" style="86" customWidth="1"/>
    <col min="1030" max="1030" width="10.85546875" style="86" customWidth="1"/>
    <col min="1031" max="1031" width="9.5703125" style="86" customWidth="1"/>
    <col min="1032" max="1032" width="10.140625" style="86" customWidth="1"/>
    <col min="1033" max="1033" width="11.5703125" style="86" customWidth="1"/>
    <col min="1034" max="1034" width="13.42578125" style="86" customWidth="1"/>
    <col min="1035" max="1035" width="15.140625" style="86" customWidth="1"/>
    <col min="1036" max="1036" width="9.140625" style="86"/>
    <col min="1037" max="1037" width="17.28515625" style="86" customWidth="1"/>
    <col min="1038" max="1038" width="10.42578125" style="86" bestFit="1" customWidth="1"/>
    <col min="1039" max="1279" width="9.140625" style="86"/>
    <col min="1280" max="1280" width="12.140625" style="86" customWidth="1"/>
    <col min="1281" max="1281" width="13.5703125" style="86" customWidth="1"/>
    <col min="1282" max="1282" width="10.7109375" style="86" customWidth="1"/>
    <col min="1283" max="1284" width="12.140625" style="86" customWidth="1"/>
    <col min="1285" max="1285" width="10" style="86" customWidth="1"/>
    <col min="1286" max="1286" width="10.85546875" style="86" customWidth="1"/>
    <col min="1287" max="1287" width="9.5703125" style="86" customWidth="1"/>
    <col min="1288" max="1288" width="10.140625" style="86" customWidth="1"/>
    <col min="1289" max="1289" width="11.5703125" style="86" customWidth="1"/>
    <col min="1290" max="1290" width="13.42578125" style="86" customWidth="1"/>
    <col min="1291" max="1291" width="15.140625" style="86" customWidth="1"/>
    <col min="1292" max="1292" width="9.140625" style="86"/>
    <col min="1293" max="1293" width="17.28515625" style="86" customWidth="1"/>
    <col min="1294" max="1294" width="10.42578125" style="86" bestFit="1" customWidth="1"/>
    <col min="1295" max="1535" width="9.140625" style="86"/>
    <col min="1536" max="1536" width="12.140625" style="86" customWidth="1"/>
    <col min="1537" max="1537" width="13.5703125" style="86" customWidth="1"/>
    <col min="1538" max="1538" width="10.7109375" style="86" customWidth="1"/>
    <col min="1539" max="1540" width="12.140625" style="86" customWidth="1"/>
    <col min="1541" max="1541" width="10" style="86" customWidth="1"/>
    <col min="1542" max="1542" width="10.85546875" style="86" customWidth="1"/>
    <col min="1543" max="1543" width="9.5703125" style="86" customWidth="1"/>
    <col min="1544" max="1544" width="10.140625" style="86" customWidth="1"/>
    <col min="1545" max="1545" width="11.5703125" style="86" customWidth="1"/>
    <col min="1546" max="1546" width="13.42578125" style="86" customWidth="1"/>
    <col min="1547" max="1547" width="15.140625" style="86" customWidth="1"/>
    <col min="1548" max="1548" width="9.140625" style="86"/>
    <col min="1549" max="1549" width="17.28515625" style="86" customWidth="1"/>
    <col min="1550" max="1550" width="10.42578125" style="86" bestFit="1" customWidth="1"/>
    <col min="1551" max="1791" width="9.140625" style="86"/>
    <col min="1792" max="1792" width="12.140625" style="86" customWidth="1"/>
    <col min="1793" max="1793" width="13.5703125" style="86" customWidth="1"/>
    <col min="1794" max="1794" width="10.7109375" style="86" customWidth="1"/>
    <col min="1795" max="1796" width="12.140625" style="86" customWidth="1"/>
    <col min="1797" max="1797" width="10" style="86" customWidth="1"/>
    <col min="1798" max="1798" width="10.85546875" style="86" customWidth="1"/>
    <col min="1799" max="1799" width="9.5703125" style="86" customWidth="1"/>
    <col min="1800" max="1800" width="10.140625" style="86" customWidth="1"/>
    <col min="1801" max="1801" width="11.5703125" style="86" customWidth="1"/>
    <col min="1802" max="1802" width="13.42578125" style="86" customWidth="1"/>
    <col min="1803" max="1803" width="15.140625" style="86" customWidth="1"/>
    <col min="1804" max="1804" width="9.140625" style="86"/>
    <col min="1805" max="1805" width="17.28515625" style="86" customWidth="1"/>
    <col min="1806" max="1806" width="10.42578125" style="86" bestFit="1" customWidth="1"/>
    <col min="1807" max="2047" width="9.140625" style="86"/>
    <col min="2048" max="2048" width="12.140625" style="86" customWidth="1"/>
    <col min="2049" max="2049" width="13.5703125" style="86" customWidth="1"/>
    <col min="2050" max="2050" width="10.7109375" style="86" customWidth="1"/>
    <col min="2051" max="2052" width="12.140625" style="86" customWidth="1"/>
    <col min="2053" max="2053" width="10" style="86" customWidth="1"/>
    <col min="2054" max="2054" width="10.85546875" style="86" customWidth="1"/>
    <col min="2055" max="2055" width="9.5703125" style="86" customWidth="1"/>
    <col min="2056" max="2056" width="10.140625" style="86" customWidth="1"/>
    <col min="2057" max="2057" width="11.5703125" style="86" customWidth="1"/>
    <col min="2058" max="2058" width="13.42578125" style="86" customWidth="1"/>
    <col min="2059" max="2059" width="15.140625" style="86" customWidth="1"/>
    <col min="2060" max="2060" width="9.140625" style="86"/>
    <col min="2061" max="2061" width="17.28515625" style="86" customWidth="1"/>
    <col min="2062" max="2062" width="10.42578125" style="86" bestFit="1" customWidth="1"/>
    <col min="2063" max="2303" width="9.140625" style="86"/>
    <col min="2304" max="2304" width="12.140625" style="86" customWidth="1"/>
    <col min="2305" max="2305" width="13.5703125" style="86" customWidth="1"/>
    <col min="2306" max="2306" width="10.7109375" style="86" customWidth="1"/>
    <col min="2307" max="2308" width="12.140625" style="86" customWidth="1"/>
    <col min="2309" max="2309" width="10" style="86" customWidth="1"/>
    <col min="2310" max="2310" width="10.85546875" style="86" customWidth="1"/>
    <col min="2311" max="2311" width="9.5703125" style="86" customWidth="1"/>
    <col min="2312" max="2312" width="10.140625" style="86" customWidth="1"/>
    <col min="2313" max="2313" width="11.5703125" style="86" customWidth="1"/>
    <col min="2314" max="2314" width="13.42578125" style="86" customWidth="1"/>
    <col min="2315" max="2315" width="15.140625" style="86" customWidth="1"/>
    <col min="2316" max="2316" width="9.140625" style="86"/>
    <col min="2317" max="2317" width="17.28515625" style="86" customWidth="1"/>
    <col min="2318" max="2318" width="10.42578125" style="86" bestFit="1" customWidth="1"/>
    <col min="2319" max="2559" width="9.140625" style="86"/>
    <col min="2560" max="2560" width="12.140625" style="86" customWidth="1"/>
    <col min="2561" max="2561" width="13.5703125" style="86" customWidth="1"/>
    <col min="2562" max="2562" width="10.7109375" style="86" customWidth="1"/>
    <col min="2563" max="2564" width="12.140625" style="86" customWidth="1"/>
    <col min="2565" max="2565" width="10" style="86" customWidth="1"/>
    <col min="2566" max="2566" width="10.85546875" style="86" customWidth="1"/>
    <col min="2567" max="2567" width="9.5703125" style="86" customWidth="1"/>
    <col min="2568" max="2568" width="10.140625" style="86" customWidth="1"/>
    <col min="2569" max="2569" width="11.5703125" style="86" customWidth="1"/>
    <col min="2570" max="2570" width="13.42578125" style="86" customWidth="1"/>
    <col min="2571" max="2571" width="15.140625" style="86" customWidth="1"/>
    <col min="2572" max="2572" width="9.140625" style="86"/>
    <col min="2573" max="2573" width="17.28515625" style="86" customWidth="1"/>
    <col min="2574" max="2574" width="10.42578125" style="86" bestFit="1" customWidth="1"/>
    <col min="2575" max="2815" width="9.140625" style="86"/>
    <col min="2816" max="2816" width="12.140625" style="86" customWidth="1"/>
    <col min="2817" max="2817" width="13.5703125" style="86" customWidth="1"/>
    <col min="2818" max="2818" width="10.7109375" style="86" customWidth="1"/>
    <col min="2819" max="2820" width="12.140625" style="86" customWidth="1"/>
    <col min="2821" max="2821" width="10" style="86" customWidth="1"/>
    <col min="2822" max="2822" width="10.85546875" style="86" customWidth="1"/>
    <col min="2823" max="2823" width="9.5703125" style="86" customWidth="1"/>
    <col min="2824" max="2824" width="10.140625" style="86" customWidth="1"/>
    <col min="2825" max="2825" width="11.5703125" style="86" customWidth="1"/>
    <col min="2826" max="2826" width="13.42578125" style="86" customWidth="1"/>
    <col min="2827" max="2827" width="15.140625" style="86" customWidth="1"/>
    <col min="2828" max="2828" width="9.140625" style="86"/>
    <col min="2829" max="2829" width="17.28515625" style="86" customWidth="1"/>
    <col min="2830" max="2830" width="10.42578125" style="86" bestFit="1" customWidth="1"/>
    <col min="2831" max="3071" width="9.140625" style="86"/>
    <col min="3072" max="3072" width="12.140625" style="86" customWidth="1"/>
    <col min="3073" max="3073" width="13.5703125" style="86" customWidth="1"/>
    <col min="3074" max="3074" width="10.7109375" style="86" customWidth="1"/>
    <col min="3075" max="3076" width="12.140625" style="86" customWidth="1"/>
    <col min="3077" max="3077" width="10" style="86" customWidth="1"/>
    <col min="3078" max="3078" width="10.85546875" style="86" customWidth="1"/>
    <col min="3079" max="3079" width="9.5703125" style="86" customWidth="1"/>
    <col min="3080" max="3080" width="10.140625" style="86" customWidth="1"/>
    <col min="3081" max="3081" width="11.5703125" style="86" customWidth="1"/>
    <col min="3082" max="3082" width="13.42578125" style="86" customWidth="1"/>
    <col min="3083" max="3083" width="15.140625" style="86" customWidth="1"/>
    <col min="3084" max="3084" width="9.140625" style="86"/>
    <col min="3085" max="3085" width="17.28515625" style="86" customWidth="1"/>
    <col min="3086" max="3086" width="10.42578125" style="86" bestFit="1" customWidth="1"/>
    <col min="3087" max="3327" width="9.140625" style="86"/>
    <col min="3328" max="3328" width="12.140625" style="86" customWidth="1"/>
    <col min="3329" max="3329" width="13.5703125" style="86" customWidth="1"/>
    <col min="3330" max="3330" width="10.7109375" style="86" customWidth="1"/>
    <col min="3331" max="3332" width="12.140625" style="86" customWidth="1"/>
    <col min="3333" max="3333" width="10" style="86" customWidth="1"/>
    <col min="3334" max="3334" width="10.85546875" style="86" customWidth="1"/>
    <col min="3335" max="3335" width="9.5703125" style="86" customWidth="1"/>
    <col min="3336" max="3336" width="10.140625" style="86" customWidth="1"/>
    <col min="3337" max="3337" width="11.5703125" style="86" customWidth="1"/>
    <col min="3338" max="3338" width="13.42578125" style="86" customWidth="1"/>
    <col min="3339" max="3339" width="15.140625" style="86" customWidth="1"/>
    <col min="3340" max="3340" width="9.140625" style="86"/>
    <col min="3341" max="3341" width="17.28515625" style="86" customWidth="1"/>
    <col min="3342" max="3342" width="10.42578125" style="86" bestFit="1" customWidth="1"/>
    <col min="3343" max="3583" width="9.140625" style="86"/>
    <col min="3584" max="3584" width="12.140625" style="86" customWidth="1"/>
    <col min="3585" max="3585" width="13.5703125" style="86" customWidth="1"/>
    <col min="3586" max="3586" width="10.7109375" style="86" customWidth="1"/>
    <col min="3587" max="3588" width="12.140625" style="86" customWidth="1"/>
    <col min="3589" max="3589" width="10" style="86" customWidth="1"/>
    <col min="3590" max="3590" width="10.85546875" style="86" customWidth="1"/>
    <col min="3591" max="3591" width="9.5703125" style="86" customWidth="1"/>
    <col min="3592" max="3592" width="10.140625" style="86" customWidth="1"/>
    <col min="3593" max="3593" width="11.5703125" style="86" customWidth="1"/>
    <col min="3594" max="3594" width="13.42578125" style="86" customWidth="1"/>
    <col min="3595" max="3595" width="15.140625" style="86" customWidth="1"/>
    <col min="3596" max="3596" width="9.140625" style="86"/>
    <col min="3597" max="3597" width="17.28515625" style="86" customWidth="1"/>
    <col min="3598" max="3598" width="10.42578125" style="86" bestFit="1" customWidth="1"/>
    <col min="3599" max="3839" width="9.140625" style="86"/>
    <col min="3840" max="3840" width="12.140625" style="86" customWidth="1"/>
    <col min="3841" max="3841" width="13.5703125" style="86" customWidth="1"/>
    <col min="3842" max="3842" width="10.7109375" style="86" customWidth="1"/>
    <col min="3843" max="3844" width="12.140625" style="86" customWidth="1"/>
    <col min="3845" max="3845" width="10" style="86" customWidth="1"/>
    <col min="3846" max="3846" width="10.85546875" style="86" customWidth="1"/>
    <col min="3847" max="3847" width="9.5703125" style="86" customWidth="1"/>
    <col min="3848" max="3848" width="10.140625" style="86" customWidth="1"/>
    <col min="3849" max="3849" width="11.5703125" style="86" customWidth="1"/>
    <col min="3850" max="3850" width="13.42578125" style="86" customWidth="1"/>
    <col min="3851" max="3851" width="15.140625" style="86" customWidth="1"/>
    <col min="3852" max="3852" width="9.140625" style="86"/>
    <col min="3853" max="3853" width="17.28515625" style="86" customWidth="1"/>
    <col min="3854" max="3854" width="10.42578125" style="86" bestFit="1" customWidth="1"/>
    <col min="3855" max="4095" width="9.140625" style="86"/>
    <col min="4096" max="4096" width="12.140625" style="86" customWidth="1"/>
    <col min="4097" max="4097" width="13.5703125" style="86" customWidth="1"/>
    <col min="4098" max="4098" width="10.7109375" style="86" customWidth="1"/>
    <col min="4099" max="4100" width="12.140625" style="86" customWidth="1"/>
    <col min="4101" max="4101" width="10" style="86" customWidth="1"/>
    <col min="4102" max="4102" width="10.85546875" style="86" customWidth="1"/>
    <col min="4103" max="4103" width="9.5703125" style="86" customWidth="1"/>
    <col min="4104" max="4104" width="10.140625" style="86" customWidth="1"/>
    <col min="4105" max="4105" width="11.5703125" style="86" customWidth="1"/>
    <col min="4106" max="4106" width="13.42578125" style="86" customWidth="1"/>
    <col min="4107" max="4107" width="15.140625" style="86" customWidth="1"/>
    <col min="4108" max="4108" width="9.140625" style="86"/>
    <col min="4109" max="4109" width="17.28515625" style="86" customWidth="1"/>
    <col min="4110" max="4110" width="10.42578125" style="86" bestFit="1" customWidth="1"/>
    <col min="4111" max="4351" width="9.140625" style="86"/>
    <col min="4352" max="4352" width="12.140625" style="86" customWidth="1"/>
    <col min="4353" max="4353" width="13.5703125" style="86" customWidth="1"/>
    <col min="4354" max="4354" width="10.7109375" style="86" customWidth="1"/>
    <col min="4355" max="4356" width="12.140625" style="86" customWidth="1"/>
    <col min="4357" max="4357" width="10" style="86" customWidth="1"/>
    <col min="4358" max="4358" width="10.85546875" style="86" customWidth="1"/>
    <col min="4359" max="4359" width="9.5703125" style="86" customWidth="1"/>
    <col min="4360" max="4360" width="10.140625" style="86" customWidth="1"/>
    <col min="4361" max="4361" width="11.5703125" style="86" customWidth="1"/>
    <col min="4362" max="4362" width="13.42578125" style="86" customWidth="1"/>
    <col min="4363" max="4363" width="15.140625" style="86" customWidth="1"/>
    <col min="4364" max="4364" width="9.140625" style="86"/>
    <col min="4365" max="4365" width="17.28515625" style="86" customWidth="1"/>
    <col min="4366" max="4366" width="10.42578125" style="86" bestFit="1" customWidth="1"/>
    <col min="4367" max="4607" width="9.140625" style="86"/>
    <col min="4608" max="4608" width="12.140625" style="86" customWidth="1"/>
    <col min="4609" max="4609" width="13.5703125" style="86" customWidth="1"/>
    <col min="4610" max="4610" width="10.7109375" style="86" customWidth="1"/>
    <col min="4611" max="4612" width="12.140625" style="86" customWidth="1"/>
    <col min="4613" max="4613" width="10" style="86" customWidth="1"/>
    <col min="4614" max="4614" width="10.85546875" style="86" customWidth="1"/>
    <col min="4615" max="4615" width="9.5703125" style="86" customWidth="1"/>
    <col min="4616" max="4616" width="10.140625" style="86" customWidth="1"/>
    <col min="4617" max="4617" width="11.5703125" style="86" customWidth="1"/>
    <col min="4618" max="4618" width="13.42578125" style="86" customWidth="1"/>
    <col min="4619" max="4619" width="15.140625" style="86" customWidth="1"/>
    <col min="4620" max="4620" width="9.140625" style="86"/>
    <col min="4621" max="4621" width="17.28515625" style="86" customWidth="1"/>
    <col min="4622" max="4622" width="10.42578125" style="86" bestFit="1" customWidth="1"/>
    <col min="4623" max="4863" width="9.140625" style="86"/>
    <col min="4864" max="4864" width="12.140625" style="86" customWidth="1"/>
    <col min="4865" max="4865" width="13.5703125" style="86" customWidth="1"/>
    <col min="4866" max="4866" width="10.7109375" style="86" customWidth="1"/>
    <col min="4867" max="4868" width="12.140625" style="86" customWidth="1"/>
    <col min="4869" max="4869" width="10" style="86" customWidth="1"/>
    <col min="4870" max="4870" width="10.85546875" style="86" customWidth="1"/>
    <col min="4871" max="4871" width="9.5703125" style="86" customWidth="1"/>
    <col min="4872" max="4872" width="10.140625" style="86" customWidth="1"/>
    <col min="4873" max="4873" width="11.5703125" style="86" customWidth="1"/>
    <col min="4874" max="4874" width="13.42578125" style="86" customWidth="1"/>
    <col min="4875" max="4875" width="15.140625" style="86" customWidth="1"/>
    <col min="4876" max="4876" width="9.140625" style="86"/>
    <col min="4877" max="4877" width="17.28515625" style="86" customWidth="1"/>
    <col min="4878" max="4878" width="10.42578125" style="86" bestFit="1" customWidth="1"/>
    <col min="4879" max="5119" width="9.140625" style="86"/>
    <col min="5120" max="5120" width="12.140625" style="86" customWidth="1"/>
    <col min="5121" max="5121" width="13.5703125" style="86" customWidth="1"/>
    <col min="5122" max="5122" width="10.7109375" style="86" customWidth="1"/>
    <col min="5123" max="5124" width="12.140625" style="86" customWidth="1"/>
    <col min="5125" max="5125" width="10" style="86" customWidth="1"/>
    <col min="5126" max="5126" width="10.85546875" style="86" customWidth="1"/>
    <col min="5127" max="5127" width="9.5703125" style="86" customWidth="1"/>
    <col min="5128" max="5128" width="10.140625" style="86" customWidth="1"/>
    <col min="5129" max="5129" width="11.5703125" style="86" customWidth="1"/>
    <col min="5130" max="5130" width="13.42578125" style="86" customWidth="1"/>
    <col min="5131" max="5131" width="15.140625" style="86" customWidth="1"/>
    <col min="5132" max="5132" width="9.140625" style="86"/>
    <col min="5133" max="5133" width="17.28515625" style="86" customWidth="1"/>
    <col min="5134" max="5134" width="10.42578125" style="86" bestFit="1" customWidth="1"/>
    <col min="5135" max="5375" width="9.140625" style="86"/>
    <col min="5376" max="5376" width="12.140625" style="86" customWidth="1"/>
    <col min="5377" max="5377" width="13.5703125" style="86" customWidth="1"/>
    <col min="5378" max="5378" width="10.7109375" style="86" customWidth="1"/>
    <col min="5379" max="5380" width="12.140625" style="86" customWidth="1"/>
    <col min="5381" max="5381" width="10" style="86" customWidth="1"/>
    <col min="5382" max="5382" width="10.85546875" style="86" customWidth="1"/>
    <col min="5383" max="5383" width="9.5703125" style="86" customWidth="1"/>
    <col min="5384" max="5384" width="10.140625" style="86" customWidth="1"/>
    <col min="5385" max="5385" width="11.5703125" style="86" customWidth="1"/>
    <col min="5386" max="5386" width="13.42578125" style="86" customWidth="1"/>
    <col min="5387" max="5387" width="15.140625" style="86" customWidth="1"/>
    <col min="5388" max="5388" width="9.140625" style="86"/>
    <col min="5389" max="5389" width="17.28515625" style="86" customWidth="1"/>
    <col min="5390" max="5390" width="10.42578125" style="86" bestFit="1" customWidth="1"/>
    <col min="5391" max="5631" width="9.140625" style="86"/>
    <col min="5632" max="5632" width="12.140625" style="86" customWidth="1"/>
    <col min="5633" max="5633" width="13.5703125" style="86" customWidth="1"/>
    <col min="5634" max="5634" width="10.7109375" style="86" customWidth="1"/>
    <col min="5635" max="5636" width="12.140625" style="86" customWidth="1"/>
    <col min="5637" max="5637" width="10" style="86" customWidth="1"/>
    <col min="5638" max="5638" width="10.85546875" style="86" customWidth="1"/>
    <col min="5639" max="5639" width="9.5703125" style="86" customWidth="1"/>
    <col min="5640" max="5640" width="10.140625" style="86" customWidth="1"/>
    <col min="5641" max="5641" width="11.5703125" style="86" customWidth="1"/>
    <col min="5642" max="5642" width="13.42578125" style="86" customWidth="1"/>
    <col min="5643" max="5643" width="15.140625" style="86" customWidth="1"/>
    <col min="5644" max="5644" width="9.140625" style="86"/>
    <col min="5645" max="5645" width="17.28515625" style="86" customWidth="1"/>
    <col min="5646" max="5646" width="10.42578125" style="86" bestFit="1" customWidth="1"/>
    <col min="5647" max="5887" width="9.140625" style="86"/>
    <col min="5888" max="5888" width="12.140625" style="86" customWidth="1"/>
    <col min="5889" max="5889" width="13.5703125" style="86" customWidth="1"/>
    <col min="5890" max="5890" width="10.7109375" style="86" customWidth="1"/>
    <col min="5891" max="5892" width="12.140625" style="86" customWidth="1"/>
    <col min="5893" max="5893" width="10" style="86" customWidth="1"/>
    <col min="5894" max="5894" width="10.85546875" style="86" customWidth="1"/>
    <col min="5895" max="5895" width="9.5703125" style="86" customWidth="1"/>
    <col min="5896" max="5896" width="10.140625" style="86" customWidth="1"/>
    <col min="5897" max="5897" width="11.5703125" style="86" customWidth="1"/>
    <col min="5898" max="5898" width="13.42578125" style="86" customWidth="1"/>
    <col min="5899" max="5899" width="15.140625" style="86" customWidth="1"/>
    <col min="5900" max="5900" width="9.140625" style="86"/>
    <col min="5901" max="5901" width="17.28515625" style="86" customWidth="1"/>
    <col min="5902" max="5902" width="10.42578125" style="86" bestFit="1" customWidth="1"/>
    <col min="5903" max="6143" width="9.140625" style="86"/>
    <col min="6144" max="6144" width="12.140625" style="86" customWidth="1"/>
    <col min="6145" max="6145" width="13.5703125" style="86" customWidth="1"/>
    <col min="6146" max="6146" width="10.7109375" style="86" customWidth="1"/>
    <col min="6147" max="6148" width="12.140625" style="86" customWidth="1"/>
    <col min="6149" max="6149" width="10" style="86" customWidth="1"/>
    <col min="6150" max="6150" width="10.85546875" style="86" customWidth="1"/>
    <col min="6151" max="6151" width="9.5703125" style="86" customWidth="1"/>
    <col min="6152" max="6152" width="10.140625" style="86" customWidth="1"/>
    <col min="6153" max="6153" width="11.5703125" style="86" customWidth="1"/>
    <col min="6154" max="6154" width="13.42578125" style="86" customWidth="1"/>
    <col min="6155" max="6155" width="15.140625" style="86" customWidth="1"/>
    <col min="6156" max="6156" width="9.140625" style="86"/>
    <col min="6157" max="6157" width="17.28515625" style="86" customWidth="1"/>
    <col min="6158" max="6158" width="10.42578125" style="86" bestFit="1" customWidth="1"/>
    <col min="6159" max="6399" width="9.140625" style="86"/>
    <col min="6400" max="6400" width="12.140625" style="86" customWidth="1"/>
    <col min="6401" max="6401" width="13.5703125" style="86" customWidth="1"/>
    <col min="6402" max="6402" width="10.7109375" style="86" customWidth="1"/>
    <col min="6403" max="6404" width="12.140625" style="86" customWidth="1"/>
    <col min="6405" max="6405" width="10" style="86" customWidth="1"/>
    <col min="6406" max="6406" width="10.85546875" style="86" customWidth="1"/>
    <col min="6407" max="6407" width="9.5703125" style="86" customWidth="1"/>
    <col min="6408" max="6408" width="10.140625" style="86" customWidth="1"/>
    <col min="6409" max="6409" width="11.5703125" style="86" customWidth="1"/>
    <col min="6410" max="6410" width="13.42578125" style="86" customWidth="1"/>
    <col min="6411" max="6411" width="15.140625" style="86" customWidth="1"/>
    <col min="6412" max="6412" width="9.140625" style="86"/>
    <col min="6413" max="6413" width="17.28515625" style="86" customWidth="1"/>
    <col min="6414" max="6414" width="10.42578125" style="86" bestFit="1" customWidth="1"/>
    <col min="6415" max="6655" width="9.140625" style="86"/>
    <col min="6656" max="6656" width="12.140625" style="86" customWidth="1"/>
    <col min="6657" max="6657" width="13.5703125" style="86" customWidth="1"/>
    <col min="6658" max="6658" width="10.7109375" style="86" customWidth="1"/>
    <col min="6659" max="6660" width="12.140625" style="86" customWidth="1"/>
    <col min="6661" max="6661" width="10" style="86" customWidth="1"/>
    <col min="6662" max="6662" width="10.85546875" style="86" customWidth="1"/>
    <col min="6663" max="6663" width="9.5703125" style="86" customWidth="1"/>
    <col min="6664" max="6664" width="10.140625" style="86" customWidth="1"/>
    <col min="6665" max="6665" width="11.5703125" style="86" customWidth="1"/>
    <col min="6666" max="6666" width="13.42578125" style="86" customWidth="1"/>
    <col min="6667" max="6667" width="15.140625" style="86" customWidth="1"/>
    <col min="6668" max="6668" width="9.140625" style="86"/>
    <col min="6669" max="6669" width="17.28515625" style="86" customWidth="1"/>
    <col min="6670" max="6670" width="10.42578125" style="86" bestFit="1" customWidth="1"/>
    <col min="6671" max="6911" width="9.140625" style="86"/>
    <col min="6912" max="6912" width="12.140625" style="86" customWidth="1"/>
    <col min="6913" max="6913" width="13.5703125" style="86" customWidth="1"/>
    <col min="6914" max="6914" width="10.7109375" style="86" customWidth="1"/>
    <col min="6915" max="6916" width="12.140625" style="86" customWidth="1"/>
    <col min="6917" max="6917" width="10" style="86" customWidth="1"/>
    <col min="6918" max="6918" width="10.85546875" style="86" customWidth="1"/>
    <col min="6919" max="6919" width="9.5703125" style="86" customWidth="1"/>
    <col min="6920" max="6920" width="10.140625" style="86" customWidth="1"/>
    <col min="6921" max="6921" width="11.5703125" style="86" customWidth="1"/>
    <col min="6922" max="6922" width="13.42578125" style="86" customWidth="1"/>
    <col min="6923" max="6923" width="15.140625" style="86" customWidth="1"/>
    <col min="6924" max="6924" width="9.140625" style="86"/>
    <col min="6925" max="6925" width="17.28515625" style="86" customWidth="1"/>
    <col min="6926" max="6926" width="10.42578125" style="86" bestFit="1" customWidth="1"/>
    <col min="6927" max="7167" width="9.140625" style="86"/>
    <col min="7168" max="7168" width="12.140625" style="86" customWidth="1"/>
    <col min="7169" max="7169" width="13.5703125" style="86" customWidth="1"/>
    <col min="7170" max="7170" width="10.7109375" style="86" customWidth="1"/>
    <col min="7171" max="7172" width="12.140625" style="86" customWidth="1"/>
    <col min="7173" max="7173" width="10" style="86" customWidth="1"/>
    <col min="7174" max="7174" width="10.85546875" style="86" customWidth="1"/>
    <col min="7175" max="7175" width="9.5703125" style="86" customWidth="1"/>
    <col min="7176" max="7176" width="10.140625" style="86" customWidth="1"/>
    <col min="7177" max="7177" width="11.5703125" style="86" customWidth="1"/>
    <col min="7178" max="7178" width="13.42578125" style="86" customWidth="1"/>
    <col min="7179" max="7179" width="15.140625" style="86" customWidth="1"/>
    <col min="7180" max="7180" width="9.140625" style="86"/>
    <col min="7181" max="7181" width="17.28515625" style="86" customWidth="1"/>
    <col min="7182" max="7182" width="10.42578125" style="86" bestFit="1" customWidth="1"/>
    <col min="7183" max="7423" width="9.140625" style="86"/>
    <col min="7424" max="7424" width="12.140625" style="86" customWidth="1"/>
    <col min="7425" max="7425" width="13.5703125" style="86" customWidth="1"/>
    <col min="7426" max="7426" width="10.7109375" style="86" customWidth="1"/>
    <col min="7427" max="7428" width="12.140625" style="86" customWidth="1"/>
    <col min="7429" max="7429" width="10" style="86" customWidth="1"/>
    <col min="7430" max="7430" width="10.85546875" style="86" customWidth="1"/>
    <col min="7431" max="7431" width="9.5703125" style="86" customWidth="1"/>
    <col min="7432" max="7432" width="10.140625" style="86" customWidth="1"/>
    <col min="7433" max="7433" width="11.5703125" style="86" customWidth="1"/>
    <col min="7434" max="7434" width="13.42578125" style="86" customWidth="1"/>
    <col min="7435" max="7435" width="15.140625" style="86" customWidth="1"/>
    <col min="7436" max="7436" width="9.140625" style="86"/>
    <col min="7437" max="7437" width="17.28515625" style="86" customWidth="1"/>
    <col min="7438" max="7438" width="10.42578125" style="86" bestFit="1" customWidth="1"/>
    <col min="7439" max="7679" width="9.140625" style="86"/>
    <col min="7680" max="7680" width="12.140625" style="86" customWidth="1"/>
    <col min="7681" max="7681" width="13.5703125" style="86" customWidth="1"/>
    <col min="7682" max="7682" width="10.7109375" style="86" customWidth="1"/>
    <col min="7683" max="7684" width="12.140625" style="86" customWidth="1"/>
    <col min="7685" max="7685" width="10" style="86" customWidth="1"/>
    <col min="7686" max="7686" width="10.85546875" style="86" customWidth="1"/>
    <col min="7687" max="7687" width="9.5703125" style="86" customWidth="1"/>
    <col min="7688" max="7688" width="10.140625" style="86" customWidth="1"/>
    <col min="7689" max="7689" width="11.5703125" style="86" customWidth="1"/>
    <col min="7690" max="7690" width="13.42578125" style="86" customWidth="1"/>
    <col min="7691" max="7691" width="15.140625" style="86" customWidth="1"/>
    <col min="7692" max="7692" width="9.140625" style="86"/>
    <col min="7693" max="7693" width="17.28515625" style="86" customWidth="1"/>
    <col min="7694" max="7694" width="10.42578125" style="86" bestFit="1" customWidth="1"/>
    <col min="7695" max="7935" width="9.140625" style="86"/>
    <col min="7936" max="7936" width="12.140625" style="86" customWidth="1"/>
    <col min="7937" max="7937" width="13.5703125" style="86" customWidth="1"/>
    <col min="7938" max="7938" width="10.7109375" style="86" customWidth="1"/>
    <col min="7939" max="7940" width="12.140625" style="86" customWidth="1"/>
    <col min="7941" max="7941" width="10" style="86" customWidth="1"/>
    <col min="7942" max="7942" width="10.85546875" style="86" customWidth="1"/>
    <col min="7943" max="7943" width="9.5703125" style="86" customWidth="1"/>
    <col min="7944" max="7944" width="10.140625" style="86" customWidth="1"/>
    <col min="7945" max="7945" width="11.5703125" style="86" customWidth="1"/>
    <col min="7946" max="7946" width="13.42578125" style="86" customWidth="1"/>
    <col min="7947" max="7947" width="15.140625" style="86" customWidth="1"/>
    <col min="7948" max="7948" width="9.140625" style="86"/>
    <col min="7949" max="7949" width="17.28515625" style="86" customWidth="1"/>
    <col min="7950" max="7950" width="10.42578125" style="86" bestFit="1" customWidth="1"/>
    <col min="7951" max="8191" width="9.140625" style="86"/>
    <col min="8192" max="8192" width="12.140625" style="86" customWidth="1"/>
    <col min="8193" max="8193" width="13.5703125" style="86" customWidth="1"/>
    <col min="8194" max="8194" width="10.7109375" style="86" customWidth="1"/>
    <col min="8195" max="8196" width="12.140625" style="86" customWidth="1"/>
    <col min="8197" max="8197" width="10" style="86" customWidth="1"/>
    <col min="8198" max="8198" width="10.85546875" style="86" customWidth="1"/>
    <col min="8199" max="8199" width="9.5703125" style="86" customWidth="1"/>
    <col min="8200" max="8200" width="10.140625" style="86" customWidth="1"/>
    <col min="8201" max="8201" width="11.5703125" style="86" customWidth="1"/>
    <col min="8202" max="8202" width="13.42578125" style="86" customWidth="1"/>
    <col min="8203" max="8203" width="15.140625" style="86" customWidth="1"/>
    <col min="8204" max="8204" width="9.140625" style="86"/>
    <col min="8205" max="8205" width="17.28515625" style="86" customWidth="1"/>
    <col min="8206" max="8206" width="10.42578125" style="86" bestFit="1" customWidth="1"/>
    <col min="8207" max="8447" width="9.140625" style="86"/>
    <col min="8448" max="8448" width="12.140625" style="86" customWidth="1"/>
    <col min="8449" max="8449" width="13.5703125" style="86" customWidth="1"/>
    <col min="8450" max="8450" width="10.7109375" style="86" customWidth="1"/>
    <col min="8451" max="8452" width="12.140625" style="86" customWidth="1"/>
    <col min="8453" max="8453" width="10" style="86" customWidth="1"/>
    <col min="8454" max="8454" width="10.85546875" style="86" customWidth="1"/>
    <col min="8455" max="8455" width="9.5703125" style="86" customWidth="1"/>
    <col min="8456" max="8456" width="10.140625" style="86" customWidth="1"/>
    <col min="8457" max="8457" width="11.5703125" style="86" customWidth="1"/>
    <col min="8458" max="8458" width="13.42578125" style="86" customWidth="1"/>
    <col min="8459" max="8459" width="15.140625" style="86" customWidth="1"/>
    <col min="8460" max="8460" width="9.140625" style="86"/>
    <col min="8461" max="8461" width="17.28515625" style="86" customWidth="1"/>
    <col min="8462" max="8462" width="10.42578125" style="86" bestFit="1" customWidth="1"/>
    <col min="8463" max="8703" width="9.140625" style="86"/>
    <col min="8704" max="8704" width="12.140625" style="86" customWidth="1"/>
    <col min="8705" max="8705" width="13.5703125" style="86" customWidth="1"/>
    <col min="8706" max="8706" width="10.7109375" style="86" customWidth="1"/>
    <col min="8707" max="8708" width="12.140625" style="86" customWidth="1"/>
    <col min="8709" max="8709" width="10" style="86" customWidth="1"/>
    <col min="8710" max="8710" width="10.85546875" style="86" customWidth="1"/>
    <col min="8711" max="8711" width="9.5703125" style="86" customWidth="1"/>
    <col min="8712" max="8712" width="10.140625" style="86" customWidth="1"/>
    <col min="8713" max="8713" width="11.5703125" style="86" customWidth="1"/>
    <col min="8714" max="8714" width="13.42578125" style="86" customWidth="1"/>
    <col min="8715" max="8715" width="15.140625" style="86" customWidth="1"/>
    <col min="8716" max="8716" width="9.140625" style="86"/>
    <col min="8717" max="8717" width="17.28515625" style="86" customWidth="1"/>
    <col min="8718" max="8718" width="10.42578125" style="86" bestFit="1" customWidth="1"/>
    <col min="8719" max="8959" width="9.140625" style="86"/>
    <col min="8960" max="8960" width="12.140625" style="86" customWidth="1"/>
    <col min="8961" max="8961" width="13.5703125" style="86" customWidth="1"/>
    <col min="8962" max="8962" width="10.7109375" style="86" customWidth="1"/>
    <col min="8963" max="8964" width="12.140625" style="86" customWidth="1"/>
    <col min="8965" max="8965" width="10" style="86" customWidth="1"/>
    <col min="8966" max="8966" width="10.85546875" style="86" customWidth="1"/>
    <col min="8967" max="8967" width="9.5703125" style="86" customWidth="1"/>
    <col min="8968" max="8968" width="10.140625" style="86" customWidth="1"/>
    <col min="8969" max="8969" width="11.5703125" style="86" customWidth="1"/>
    <col min="8970" max="8970" width="13.42578125" style="86" customWidth="1"/>
    <col min="8971" max="8971" width="15.140625" style="86" customWidth="1"/>
    <col min="8972" max="8972" width="9.140625" style="86"/>
    <col min="8973" max="8973" width="17.28515625" style="86" customWidth="1"/>
    <col min="8974" max="8974" width="10.42578125" style="86" bestFit="1" customWidth="1"/>
    <col min="8975" max="9215" width="9.140625" style="86"/>
    <col min="9216" max="9216" width="12.140625" style="86" customWidth="1"/>
    <col min="9217" max="9217" width="13.5703125" style="86" customWidth="1"/>
    <col min="9218" max="9218" width="10.7109375" style="86" customWidth="1"/>
    <col min="9219" max="9220" width="12.140625" style="86" customWidth="1"/>
    <col min="9221" max="9221" width="10" style="86" customWidth="1"/>
    <col min="9222" max="9222" width="10.85546875" style="86" customWidth="1"/>
    <col min="9223" max="9223" width="9.5703125" style="86" customWidth="1"/>
    <col min="9224" max="9224" width="10.140625" style="86" customWidth="1"/>
    <col min="9225" max="9225" width="11.5703125" style="86" customWidth="1"/>
    <col min="9226" max="9226" width="13.42578125" style="86" customWidth="1"/>
    <col min="9227" max="9227" width="15.140625" style="86" customWidth="1"/>
    <col min="9228" max="9228" width="9.140625" style="86"/>
    <col min="9229" max="9229" width="17.28515625" style="86" customWidth="1"/>
    <col min="9230" max="9230" width="10.42578125" style="86" bestFit="1" customWidth="1"/>
    <col min="9231" max="9471" width="9.140625" style="86"/>
    <col min="9472" max="9472" width="12.140625" style="86" customWidth="1"/>
    <col min="9473" max="9473" width="13.5703125" style="86" customWidth="1"/>
    <col min="9474" max="9474" width="10.7109375" style="86" customWidth="1"/>
    <col min="9475" max="9476" width="12.140625" style="86" customWidth="1"/>
    <col min="9477" max="9477" width="10" style="86" customWidth="1"/>
    <col min="9478" max="9478" width="10.85546875" style="86" customWidth="1"/>
    <col min="9479" max="9479" width="9.5703125" style="86" customWidth="1"/>
    <col min="9480" max="9480" width="10.140625" style="86" customWidth="1"/>
    <col min="9481" max="9481" width="11.5703125" style="86" customWidth="1"/>
    <col min="9482" max="9482" width="13.42578125" style="86" customWidth="1"/>
    <col min="9483" max="9483" width="15.140625" style="86" customWidth="1"/>
    <col min="9484" max="9484" width="9.140625" style="86"/>
    <col min="9485" max="9485" width="17.28515625" style="86" customWidth="1"/>
    <col min="9486" max="9486" width="10.42578125" style="86" bestFit="1" customWidth="1"/>
    <col min="9487" max="9727" width="9.140625" style="86"/>
    <col min="9728" max="9728" width="12.140625" style="86" customWidth="1"/>
    <col min="9729" max="9729" width="13.5703125" style="86" customWidth="1"/>
    <col min="9730" max="9730" width="10.7109375" style="86" customWidth="1"/>
    <col min="9731" max="9732" width="12.140625" style="86" customWidth="1"/>
    <col min="9733" max="9733" width="10" style="86" customWidth="1"/>
    <col min="9734" max="9734" width="10.85546875" style="86" customWidth="1"/>
    <col min="9735" max="9735" width="9.5703125" style="86" customWidth="1"/>
    <col min="9736" max="9736" width="10.140625" style="86" customWidth="1"/>
    <col min="9737" max="9737" width="11.5703125" style="86" customWidth="1"/>
    <col min="9738" max="9738" width="13.42578125" style="86" customWidth="1"/>
    <col min="9739" max="9739" width="15.140625" style="86" customWidth="1"/>
    <col min="9740" max="9740" width="9.140625" style="86"/>
    <col min="9741" max="9741" width="17.28515625" style="86" customWidth="1"/>
    <col min="9742" max="9742" width="10.42578125" style="86" bestFit="1" customWidth="1"/>
    <col min="9743" max="9983" width="9.140625" style="86"/>
    <col min="9984" max="9984" width="12.140625" style="86" customWidth="1"/>
    <col min="9985" max="9985" width="13.5703125" style="86" customWidth="1"/>
    <col min="9986" max="9986" width="10.7109375" style="86" customWidth="1"/>
    <col min="9987" max="9988" width="12.140625" style="86" customWidth="1"/>
    <col min="9989" max="9989" width="10" style="86" customWidth="1"/>
    <col min="9990" max="9990" width="10.85546875" style="86" customWidth="1"/>
    <col min="9991" max="9991" width="9.5703125" style="86" customWidth="1"/>
    <col min="9992" max="9992" width="10.140625" style="86" customWidth="1"/>
    <col min="9993" max="9993" width="11.5703125" style="86" customWidth="1"/>
    <col min="9994" max="9994" width="13.42578125" style="86" customWidth="1"/>
    <col min="9995" max="9995" width="15.140625" style="86" customWidth="1"/>
    <col min="9996" max="9996" width="9.140625" style="86"/>
    <col min="9997" max="9997" width="17.28515625" style="86" customWidth="1"/>
    <col min="9998" max="9998" width="10.42578125" style="86" bestFit="1" customWidth="1"/>
    <col min="9999" max="10239" width="9.140625" style="86"/>
    <col min="10240" max="10240" width="12.140625" style="86" customWidth="1"/>
    <col min="10241" max="10241" width="13.5703125" style="86" customWidth="1"/>
    <col min="10242" max="10242" width="10.7109375" style="86" customWidth="1"/>
    <col min="10243" max="10244" width="12.140625" style="86" customWidth="1"/>
    <col min="10245" max="10245" width="10" style="86" customWidth="1"/>
    <col min="10246" max="10246" width="10.85546875" style="86" customWidth="1"/>
    <col min="10247" max="10247" width="9.5703125" style="86" customWidth="1"/>
    <col min="10248" max="10248" width="10.140625" style="86" customWidth="1"/>
    <col min="10249" max="10249" width="11.5703125" style="86" customWidth="1"/>
    <col min="10250" max="10250" width="13.42578125" style="86" customWidth="1"/>
    <col min="10251" max="10251" width="15.140625" style="86" customWidth="1"/>
    <col min="10252" max="10252" width="9.140625" style="86"/>
    <col min="10253" max="10253" width="17.28515625" style="86" customWidth="1"/>
    <col min="10254" max="10254" width="10.42578125" style="86" bestFit="1" customWidth="1"/>
    <col min="10255" max="10495" width="9.140625" style="86"/>
    <col min="10496" max="10496" width="12.140625" style="86" customWidth="1"/>
    <col min="10497" max="10497" width="13.5703125" style="86" customWidth="1"/>
    <col min="10498" max="10498" width="10.7109375" style="86" customWidth="1"/>
    <col min="10499" max="10500" width="12.140625" style="86" customWidth="1"/>
    <col min="10501" max="10501" width="10" style="86" customWidth="1"/>
    <col min="10502" max="10502" width="10.85546875" style="86" customWidth="1"/>
    <col min="10503" max="10503" width="9.5703125" style="86" customWidth="1"/>
    <col min="10504" max="10504" width="10.140625" style="86" customWidth="1"/>
    <col min="10505" max="10505" width="11.5703125" style="86" customWidth="1"/>
    <col min="10506" max="10506" width="13.42578125" style="86" customWidth="1"/>
    <col min="10507" max="10507" width="15.140625" style="86" customWidth="1"/>
    <col min="10508" max="10508" width="9.140625" style="86"/>
    <col min="10509" max="10509" width="17.28515625" style="86" customWidth="1"/>
    <col min="10510" max="10510" width="10.42578125" style="86" bestFit="1" customWidth="1"/>
    <col min="10511" max="10751" width="9.140625" style="86"/>
    <col min="10752" max="10752" width="12.140625" style="86" customWidth="1"/>
    <col min="10753" max="10753" width="13.5703125" style="86" customWidth="1"/>
    <col min="10754" max="10754" width="10.7109375" style="86" customWidth="1"/>
    <col min="10755" max="10756" width="12.140625" style="86" customWidth="1"/>
    <col min="10757" max="10757" width="10" style="86" customWidth="1"/>
    <col min="10758" max="10758" width="10.85546875" style="86" customWidth="1"/>
    <col min="10759" max="10759" width="9.5703125" style="86" customWidth="1"/>
    <col min="10760" max="10760" width="10.140625" style="86" customWidth="1"/>
    <col min="10761" max="10761" width="11.5703125" style="86" customWidth="1"/>
    <col min="10762" max="10762" width="13.42578125" style="86" customWidth="1"/>
    <col min="10763" max="10763" width="15.140625" style="86" customWidth="1"/>
    <col min="10764" max="10764" width="9.140625" style="86"/>
    <col min="10765" max="10765" width="17.28515625" style="86" customWidth="1"/>
    <col min="10766" max="10766" width="10.42578125" style="86" bestFit="1" customWidth="1"/>
    <col min="10767" max="11007" width="9.140625" style="86"/>
    <col min="11008" max="11008" width="12.140625" style="86" customWidth="1"/>
    <col min="11009" max="11009" width="13.5703125" style="86" customWidth="1"/>
    <col min="11010" max="11010" width="10.7109375" style="86" customWidth="1"/>
    <col min="11011" max="11012" width="12.140625" style="86" customWidth="1"/>
    <col min="11013" max="11013" width="10" style="86" customWidth="1"/>
    <col min="11014" max="11014" width="10.85546875" style="86" customWidth="1"/>
    <col min="11015" max="11015" width="9.5703125" style="86" customWidth="1"/>
    <col min="11016" max="11016" width="10.140625" style="86" customWidth="1"/>
    <col min="11017" max="11017" width="11.5703125" style="86" customWidth="1"/>
    <col min="11018" max="11018" width="13.42578125" style="86" customWidth="1"/>
    <col min="11019" max="11019" width="15.140625" style="86" customWidth="1"/>
    <col min="11020" max="11020" width="9.140625" style="86"/>
    <col min="11021" max="11021" width="17.28515625" style="86" customWidth="1"/>
    <col min="11022" max="11022" width="10.42578125" style="86" bestFit="1" customWidth="1"/>
    <col min="11023" max="11263" width="9.140625" style="86"/>
    <col min="11264" max="11264" width="12.140625" style="86" customWidth="1"/>
    <col min="11265" max="11265" width="13.5703125" style="86" customWidth="1"/>
    <col min="11266" max="11266" width="10.7109375" style="86" customWidth="1"/>
    <col min="11267" max="11268" width="12.140625" style="86" customWidth="1"/>
    <col min="11269" max="11269" width="10" style="86" customWidth="1"/>
    <col min="11270" max="11270" width="10.85546875" style="86" customWidth="1"/>
    <col min="11271" max="11271" width="9.5703125" style="86" customWidth="1"/>
    <col min="11272" max="11272" width="10.140625" style="86" customWidth="1"/>
    <col min="11273" max="11273" width="11.5703125" style="86" customWidth="1"/>
    <col min="11274" max="11274" width="13.42578125" style="86" customWidth="1"/>
    <col min="11275" max="11275" width="15.140625" style="86" customWidth="1"/>
    <col min="11276" max="11276" width="9.140625" style="86"/>
    <col min="11277" max="11277" width="17.28515625" style="86" customWidth="1"/>
    <col min="11278" max="11278" width="10.42578125" style="86" bestFit="1" customWidth="1"/>
    <col min="11279" max="11519" width="9.140625" style="86"/>
    <col min="11520" max="11520" width="12.140625" style="86" customWidth="1"/>
    <col min="11521" max="11521" width="13.5703125" style="86" customWidth="1"/>
    <col min="11522" max="11522" width="10.7109375" style="86" customWidth="1"/>
    <col min="11523" max="11524" width="12.140625" style="86" customWidth="1"/>
    <col min="11525" max="11525" width="10" style="86" customWidth="1"/>
    <col min="11526" max="11526" width="10.85546875" style="86" customWidth="1"/>
    <col min="11527" max="11527" width="9.5703125" style="86" customWidth="1"/>
    <col min="11528" max="11528" width="10.140625" style="86" customWidth="1"/>
    <col min="11529" max="11529" width="11.5703125" style="86" customWidth="1"/>
    <col min="11530" max="11530" width="13.42578125" style="86" customWidth="1"/>
    <col min="11531" max="11531" width="15.140625" style="86" customWidth="1"/>
    <col min="11532" max="11532" width="9.140625" style="86"/>
    <col min="11533" max="11533" width="17.28515625" style="86" customWidth="1"/>
    <col min="11534" max="11534" width="10.42578125" style="86" bestFit="1" customWidth="1"/>
    <col min="11535" max="11775" width="9.140625" style="86"/>
    <col min="11776" max="11776" width="12.140625" style="86" customWidth="1"/>
    <col min="11777" max="11777" width="13.5703125" style="86" customWidth="1"/>
    <col min="11778" max="11778" width="10.7109375" style="86" customWidth="1"/>
    <col min="11779" max="11780" width="12.140625" style="86" customWidth="1"/>
    <col min="11781" max="11781" width="10" style="86" customWidth="1"/>
    <col min="11782" max="11782" width="10.85546875" style="86" customWidth="1"/>
    <col min="11783" max="11783" width="9.5703125" style="86" customWidth="1"/>
    <col min="11784" max="11784" width="10.140625" style="86" customWidth="1"/>
    <col min="11785" max="11785" width="11.5703125" style="86" customWidth="1"/>
    <col min="11786" max="11786" width="13.42578125" style="86" customWidth="1"/>
    <col min="11787" max="11787" width="15.140625" style="86" customWidth="1"/>
    <col min="11788" max="11788" width="9.140625" style="86"/>
    <col min="11789" max="11789" width="17.28515625" style="86" customWidth="1"/>
    <col min="11790" max="11790" width="10.42578125" style="86" bestFit="1" customWidth="1"/>
    <col min="11791" max="12031" width="9.140625" style="86"/>
    <col min="12032" max="12032" width="12.140625" style="86" customWidth="1"/>
    <col min="12033" max="12033" width="13.5703125" style="86" customWidth="1"/>
    <col min="12034" max="12034" width="10.7109375" style="86" customWidth="1"/>
    <col min="12035" max="12036" width="12.140625" style="86" customWidth="1"/>
    <col min="12037" max="12037" width="10" style="86" customWidth="1"/>
    <col min="12038" max="12038" width="10.85546875" style="86" customWidth="1"/>
    <col min="12039" max="12039" width="9.5703125" style="86" customWidth="1"/>
    <col min="12040" max="12040" width="10.140625" style="86" customWidth="1"/>
    <col min="12041" max="12041" width="11.5703125" style="86" customWidth="1"/>
    <col min="12042" max="12042" width="13.42578125" style="86" customWidth="1"/>
    <col min="12043" max="12043" width="15.140625" style="86" customWidth="1"/>
    <col min="12044" max="12044" width="9.140625" style="86"/>
    <col min="12045" max="12045" width="17.28515625" style="86" customWidth="1"/>
    <col min="12046" max="12046" width="10.42578125" style="86" bestFit="1" customWidth="1"/>
    <col min="12047" max="12287" width="9.140625" style="86"/>
    <col min="12288" max="12288" width="12.140625" style="86" customWidth="1"/>
    <col min="12289" max="12289" width="13.5703125" style="86" customWidth="1"/>
    <col min="12290" max="12290" width="10.7109375" style="86" customWidth="1"/>
    <col min="12291" max="12292" width="12.140625" style="86" customWidth="1"/>
    <col min="12293" max="12293" width="10" style="86" customWidth="1"/>
    <col min="12294" max="12294" width="10.85546875" style="86" customWidth="1"/>
    <col min="12295" max="12295" width="9.5703125" style="86" customWidth="1"/>
    <col min="12296" max="12296" width="10.140625" style="86" customWidth="1"/>
    <col min="12297" max="12297" width="11.5703125" style="86" customWidth="1"/>
    <col min="12298" max="12298" width="13.42578125" style="86" customWidth="1"/>
    <col min="12299" max="12299" width="15.140625" style="86" customWidth="1"/>
    <col min="12300" max="12300" width="9.140625" style="86"/>
    <col min="12301" max="12301" width="17.28515625" style="86" customWidth="1"/>
    <col min="12302" max="12302" width="10.42578125" style="86" bestFit="1" customWidth="1"/>
    <col min="12303" max="12543" width="9.140625" style="86"/>
    <col min="12544" max="12544" width="12.140625" style="86" customWidth="1"/>
    <col min="12545" max="12545" width="13.5703125" style="86" customWidth="1"/>
    <col min="12546" max="12546" width="10.7109375" style="86" customWidth="1"/>
    <col min="12547" max="12548" width="12.140625" style="86" customWidth="1"/>
    <col min="12549" max="12549" width="10" style="86" customWidth="1"/>
    <col min="12550" max="12550" width="10.85546875" style="86" customWidth="1"/>
    <col min="12551" max="12551" width="9.5703125" style="86" customWidth="1"/>
    <col min="12552" max="12552" width="10.140625" style="86" customWidth="1"/>
    <col min="12553" max="12553" width="11.5703125" style="86" customWidth="1"/>
    <col min="12554" max="12554" width="13.42578125" style="86" customWidth="1"/>
    <col min="12555" max="12555" width="15.140625" style="86" customWidth="1"/>
    <col min="12556" max="12556" width="9.140625" style="86"/>
    <col min="12557" max="12557" width="17.28515625" style="86" customWidth="1"/>
    <col min="12558" max="12558" width="10.42578125" style="86" bestFit="1" customWidth="1"/>
    <col min="12559" max="12799" width="9.140625" style="86"/>
    <col min="12800" max="12800" width="12.140625" style="86" customWidth="1"/>
    <col min="12801" max="12801" width="13.5703125" style="86" customWidth="1"/>
    <col min="12802" max="12802" width="10.7109375" style="86" customWidth="1"/>
    <col min="12803" max="12804" width="12.140625" style="86" customWidth="1"/>
    <col min="12805" max="12805" width="10" style="86" customWidth="1"/>
    <col min="12806" max="12806" width="10.85546875" style="86" customWidth="1"/>
    <col min="12807" max="12807" width="9.5703125" style="86" customWidth="1"/>
    <col min="12808" max="12808" width="10.140625" style="86" customWidth="1"/>
    <col min="12809" max="12809" width="11.5703125" style="86" customWidth="1"/>
    <col min="12810" max="12810" width="13.42578125" style="86" customWidth="1"/>
    <col min="12811" max="12811" width="15.140625" style="86" customWidth="1"/>
    <col min="12812" max="12812" width="9.140625" style="86"/>
    <col min="12813" max="12813" width="17.28515625" style="86" customWidth="1"/>
    <col min="12814" max="12814" width="10.42578125" style="86" bestFit="1" customWidth="1"/>
    <col min="12815" max="13055" width="9.140625" style="86"/>
    <col min="13056" max="13056" width="12.140625" style="86" customWidth="1"/>
    <col min="13057" max="13057" width="13.5703125" style="86" customWidth="1"/>
    <col min="13058" max="13058" width="10.7109375" style="86" customWidth="1"/>
    <col min="13059" max="13060" width="12.140625" style="86" customWidth="1"/>
    <col min="13061" max="13061" width="10" style="86" customWidth="1"/>
    <col min="13062" max="13062" width="10.85546875" style="86" customWidth="1"/>
    <col min="13063" max="13063" width="9.5703125" style="86" customWidth="1"/>
    <col min="13064" max="13064" width="10.140625" style="86" customWidth="1"/>
    <col min="13065" max="13065" width="11.5703125" style="86" customWidth="1"/>
    <col min="13066" max="13066" width="13.42578125" style="86" customWidth="1"/>
    <col min="13067" max="13067" width="15.140625" style="86" customWidth="1"/>
    <col min="13068" max="13068" width="9.140625" style="86"/>
    <col min="13069" max="13069" width="17.28515625" style="86" customWidth="1"/>
    <col min="13070" max="13070" width="10.42578125" style="86" bestFit="1" customWidth="1"/>
    <col min="13071" max="13311" width="9.140625" style="86"/>
    <col min="13312" max="13312" width="12.140625" style="86" customWidth="1"/>
    <col min="13313" max="13313" width="13.5703125" style="86" customWidth="1"/>
    <col min="13314" max="13314" width="10.7109375" style="86" customWidth="1"/>
    <col min="13315" max="13316" width="12.140625" style="86" customWidth="1"/>
    <col min="13317" max="13317" width="10" style="86" customWidth="1"/>
    <col min="13318" max="13318" width="10.85546875" style="86" customWidth="1"/>
    <col min="13319" max="13319" width="9.5703125" style="86" customWidth="1"/>
    <col min="13320" max="13320" width="10.140625" style="86" customWidth="1"/>
    <col min="13321" max="13321" width="11.5703125" style="86" customWidth="1"/>
    <col min="13322" max="13322" width="13.42578125" style="86" customWidth="1"/>
    <col min="13323" max="13323" width="15.140625" style="86" customWidth="1"/>
    <col min="13324" max="13324" width="9.140625" style="86"/>
    <col min="13325" max="13325" width="17.28515625" style="86" customWidth="1"/>
    <col min="13326" max="13326" width="10.42578125" style="86" bestFit="1" customWidth="1"/>
    <col min="13327" max="13567" width="9.140625" style="86"/>
    <col min="13568" max="13568" width="12.140625" style="86" customWidth="1"/>
    <col min="13569" max="13569" width="13.5703125" style="86" customWidth="1"/>
    <col min="13570" max="13570" width="10.7109375" style="86" customWidth="1"/>
    <col min="13571" max="13572" width="12.140625" style="86" customWidth="1"/>
    <col min="13573" max="13573" width="10" style="86" customWidth="1"/>
    <col min="13574" max="13574" width="10.85546875" style="86" customWidth="1"/>
    <col min="13575" max="13575" width="9.5703125" style="86" customWidth="1"/>
    <col min="13576" max="13576" width="10.140625" style="86" customWidth="1"/>
    <col min="13577" max="13577" width="11.5703125" style="86" customWidth="1"/>
    <col min="13578" max="13578" width="13.42578125" style="86" customWidth="1"/>
    <col min="13579" max="13579" width="15.140625" style="86" customWidth="1"/>
    <col min="13580" max="13580" width="9.140625" style="86"/>
    <col min="13581" max="13581" width="17.28515625" style="86" customWidth="1"/>
    <col min="13582" max="13582" width="10.42578125" style="86" bestFit="1" customWidth="1"/>
    <col min="13583" max="13823" width="9.140625" style="86"/>
    <col min="13824" max="13824" width="12.140625" style="86" customWidth="1"/>
    <col min="13825" max="13825" width="13.5703125" style="86" customWidth="1"/>
    <col min="13826" max="13826" width="10.7109375" style="86" customWidth="1"/>
    <col min="13827" max="13828" width="12.140625" style="86" customWidth="1"/>
    <col min="13829" max="13829" width="10" style="86" customWidth="1"/>
    <col min="13830" max="13830" width="10.85546875" style="86" customWidth="1"/>
    <col min="13831" max="13831" width="9.5703125" style="86" customWidth="1"/>
    <col min="13832" max="13832" width="10.140625" style="86" customWidth="1"/>
    <col min="13833" max="13833" width="11.5703125" style="86" customWidth="1"/>
    <col min="13834" max="13834" width="13.42578125" style="86" customWidth="1"/>
    <col min="13835" max="13835" width="15.140625" style="86" customWidth="1"/>
    <col min="13836" max="13836" width="9.140625" style="86"/>
    <col min="13837" max="13837" width="17.28515625" style="86" customWidth="1"/>
    <col min="13838" max="13838" width="10.42578125" style="86" bestFit="1" customWidth="1"/>
    <col min="13839" max="14079" width="9.140625" style="86"/>
    <col min="14080" max="14080" width="12.140625" style="86" customWidth="1"/>
    <col min="14081" max="14081" width="13.5703125" style="86" customWidth="1"/>
    <col min="14082" max="14082" width="10.7109375" style="86" customWidth="1"/>
    <col min="14083" max="14084" width="12.140625" style="86" customWidth="1"/>
    <col min="14085" max="14085" width="10" style="86" customWidth="1"/>
    <col min="14086" max="14086" width="10.85546875" style="86" customWidth="1"/>
    <col min="14087" max="14087" width="9.5703125" style="86" customWidth="1"/>
    <col min="14088" max="14088" width="10.140625" style="86" customWidth="1"/>
    <col min="14089" max="14089" width="11.5703125" style="86" customWidth="1"/>
    <col min="14090" max="14090" width="13.42578125" style="86" customWidth="1"/>
    <col min="14091" max="14091" width="15.140625" style="86" customWidth="1"/>
    <col min="14092" max="14092" width="9.140625" style="86"/>
    <col min="14093" max="14093" width="17.28515625" style="86" customWidth="1"/>
    <col min="14094" max="14094" width="10.42578125" style="86" bestFit="1" customWidth="1"/>
    <col min="14095" max="14335" width="9.140625" style="86"/>
    <col min="14336" max="14336" width="12.140625" style="86" customWidth="1"/>
    <col min="14337" max="14337" width="13.5703125" style="86" customWidth="1"/>
    <col min="14338" max="14338" width="10.7109375" style="86" customWidth="1"/>
    <col min="14339" max="14340" width="12.140625" style="86" customWidth="1"/>
    <col min="14341" max="14341" width="10" style="86" customWidth="1"/>
    <col min="14342" max="14342" width="10.85546875" style="86" customWidth="1"/>
    <col min="14343" max="14343" width="9.5703125" style="86" customWidth="1"/>
    <col min="14344" max="14344" width="10.140625" style="86" customWidth="1"/>
    <col min="14345" max="14345" width="11.5703125" style="86" customWidth="1"/>
    <col min="14346" max="14346" width="13.42578125" style="86" customWidth="1"/>
    <col min="14347" max="14347" width="15.140625" style="86" customWidth="1"/>
    <col min="14348" max="14348" width="9.140625" style="86"/>
    <col min="14349" max="14349" width="17.28515625" style="86" customWidth="1"/>
    <col min="14350" max="14350" width="10.42578125" style="86" bestFit="1" customWidth="1"/>
    <col min="14351" max="14591" width="9.140625" style="86"/>
    <col min="14592" max="14592" width="12.140625" style="86" customWidth="1"/>
    <col min="14593" max="14593" width="13.5703125" style="86" customWidth="1"/>
    <col min="14594" max="14594" width="10.7109375" style="86" customWidth="1"/>
    <col min="14595" max="14596" width="12.140625" style="86" customWidth="1"/>
    <col min="14597" max="14597" width="10" style="86" customWidth="1"/>
    <col min="14598" max="14598" width="10.85546875" style="86" customWidth="1"/>
    <col min="14599" max="14599" width="9.5703125" style="86" customWidth="1"/>
    <col min="14600" max="14600" width="10.140625" style="86" customWidth="1"/>
    <col min="14601" max="14601" width="11.5703125" style="86" customWidth="1"/>
    <col min="14602" max="14602" width="13.42578125" style="86" customWidth="1"/>
    <col min="14603" max="14603" width="15.140625" style="86" customWidth="1"/>
    <col min="14604" max="14604" width="9.140625" style="86"/>
    <col min="14605" max="14605" width="17.28515625" style="86" customWidth="1"/>
    <col min="14606" max="14606" width="10.42578125" style="86" bestFit="1" customWidth="1"/>
    <col min="14607" max="14847" width="9.140625" style="86"/>
    <col min="14848" max="14848" width="12.140625" style="86" customWidth="1"/>
    <col min="14849" max="14849" width="13.5703125" style="86" customWidth="1"/>
    <col min="14850" max="14850" width="10.7109375" style="86" customWidth="1"/>
    <col min="14851" max="14852" width="12.140625" style="86" customWidth="1"/>
    <col min="14853" max="14853" width="10" style="86" customWidth="1"/>
    <col min="14854" max="14854" width="10.85546875" style="86" customWidth="1"/>
    <col min="14855" max="14855" width="9.5703125" style="86" customWidth="1"/>
    <col min="14856" max="14856" width="10.140625" style="86" customWidth="1"/>
    <col min="14857" max="14857" width="11.5703125" style="86" customWidth="1"/>
    <col min="14858" max="14858" width="13.42578125" style="86" customWidth="1"/>
    <col min="14859" max="14859" width="15.140625" style="86" customWidth="1"/>
    <col min="14860" max="14860" width="9.140625" style="86"/>
    <col min="14861" max="14861" width="17.28515625" style="86" customWidth="1"/>
    <col min="14862" max="14862" width="10.42578125" style="86" bestFit="1" customWidth="1"/>
    <col min="14863" max="15103" width="9.140625" style="86"/>
    <col min="15104" max="15104" width="12.140625" style="86" customWidth="1"/>
    <col min="15105" max="15105" width="13.5703125" style="86" customWidth="1"/>
    <col min="15106" max="15106" width="10.7109375" style="86" customWidth="1"/>
    <col min="15107" max="15108" width="12.140625" style="86" customWidth="1"/>
    <col min="15109" max="15109" width="10" style="86" customWidth="1"/>
    <col min="15110" max="15110" width="10.85546875" style="86" customWidth="1"/>
    <col min="15111" max="15111" width="9.5703125" style="86" customWidth="1"/>
    <col min="15112" max="15112" width="10.140625" style="86" customWidth="1"/>
    <col min="15113" max="15113" width="11.5703125" style="86" customWidth="1"/>
    <col min="15114" max="15114" width="13.42578125" style="86" customWidth="1"/>
    <col min="15115" max="15115" width="15.140625" style="86" customWidth="1"/>
    <col min="15116" max="15116" width="9.140625" style="86"/>
    <col min="15117" max="15117" width="17.28515625" style="86" customWidth="1"/>
    <col min="15118" max="15118" width="10.42578125" style="86" bestFit="1" customWidth="1"/>
    <col min="15119" max="15359" width="9.140625" style="86"/>
    <col min="15360" max="15360" width="12.140625" style="86" customWidth="1"/>
    <col min="15361" max="15361" width="13.5703125" style="86" customWidth="1"/>
    <col min="15362" max="15362" width="10.7109375" style="86" customWidth="1"/>
    <col min="15363" max="15364" width="12.140625" style="86" customWidth="1"/>
    <col min="15365" max="15365" width="10" style="86" customWidth="1"/>
    <col min="15366" max="15366" width="10.85546875" style="86" customWidth="1"/>
    <col min="15367" max="15367" width="9.5703125" style="86" customWidth="1"/>
    <col min="15368" max="15368" width="10.140625" style="86" customWidth="1"/>
    <col min="15369" max="15369" width="11.5703125" style="86" customWidth="1"/>
    <col min="15370" max="15370" width="13.42578125" style="86" customWidth="1"/>
    <col min="15371" max="15371" width="15.140625" style="86" customWidth="1"/>
    <col min="15372" max="15372" width="9.140625" style="86"/>
    <col min="15373" max="15373" width="17.28515625" style="86" customWidth="1"/>
    <col min="15374" max="15374" width="10.42578125" style="86" bestFit="1" customWidth="1"/>
    <col min="15375" max="15615" width="9.140625" style="86"/>
    <col min="15616" max="15616" width="12.140625" style="86" customWidth="1"/>
    <col min="15617" max="15617" width="13.5703125" style="86" customWidth="1"/>
    <col min="15618" max="15618" width="10.7109375" style="86" customWidth="1"/>
    <col min="15619" max="15620" width="12.140625" style="86" customWidth="1"/>
    <col min="15621" max="15621" width="10" style="86" customWidth="1"/>
    <col min="15622" max="15622" width="10.85546875" style="86" customWidth="1"/>
    <col min="15623" max="15623" width="9.5703125" style="86" customWidth="1"/>
    <col min="15624" max="15624" width="10.140625" style="86" customWidth="1"/>
    <col min="15625" max="15625" width="11.5703125" style="86" customWidth="1"/>
    <col min="15626" max="15626" width="13.42578125" style="86" customWidth="1"/>
    <col min="15627" max="15627" width="15.140625" style="86" customWidth="1"/>
    <col min="15628" max="15628" width="9.140625" style="86"/>
    <col min="15629" max="15629" width="17.28515625" style="86" customWidth="1"/>
    <col min="15630" max="15630" width="10.42578125" style="86" bestFit="1" customWidth="1"/>
    <col min="15631" max="15871" width="9.140625" style="86"/>
    <col min="15872" max="15872" width="12.140625" style="86" customWidth="1"/>
    <col min="15873" max="15873" width="13.5703125" style="86" customWidth="1"/>
    <col min="15874" max="15874" width="10.7109375" style="86" customWidth="1"/>
    <col min="15875" max="15876" width="12.140625" style="86" customWidth="1"/>
    <col min="15877" max="15877" width="10" style="86" customWidth="1"/>
    <col min="15878" max="15878" width="10.85546875" style="86" customWidth="1"/>
    <col min="15879" max="15879" width="9.5703125" style="86" customWidth="1"/>
    <col min="15880" max="15880" width="10.140625" style="86" customWidth="1"/>
    <col min="15881" max="15881" width="11.5703125" style="86" customWidth="1"/>
    <col min="15882" max="15882" width="13.42578125" style="86" customWidth="1"/>
    <col min="15883" max="15883" width="15.140625" style="86" customWidth="1"/>
    <col min="15884" max="15884" width="9.140625" style="86"/>
    <col min="15885" max="15885" width="17.28515625" style="86" customWidth="1"/>
    <col min="15886" max="15886" width="10.42578125" style="86" bestFit="1" customWidth="1"/>
    <col min="15887" max="16127" width="9.140625" style="86"/>
    <col min="16128" max="16128" width="12.140625" style="86" customWidth="1"/>
    <col min="16129" max="16129" width="13.5703125" style="86" customWidth="1"/>
    <col min="16130" max="16130" width="10.7109375" style="86" customWidth="1"/>
    <col min="16131" max="16132" width="12.140625" style="86" customWidth="1"/>
    <col min="16133" max="16133" width="10" style="86" customWidth="1"/>
    <col min="16134" max="16134" width="10.85546875" style="86" customWidth="1"/>
    <col min="16135" max="16135" width="9.5703125" style="86" customWidth="1"/>
    <col min="16136" max="16136" width="10.140625" style="86" customWidth="1"/>
    <col min="16137" max="16137" width="11.5703125" style="86" customWidth="1"/>
    <col min="16138" max="16138" width="13.42578125" style="86" customWidth="1"/>
    <col min="16139" max="16139" width="15.140625" style="86" customWidth="1"/>
    <col min="16140" max="16140" width="9.140625" style="86"/>
    <col min="16141" max="16141" width="17.28515625" style="86" customWidth="1"/>
    <col min="16142" max="16142" width="10.42578125" style="86" bestFit="1" customWidth="1"/>
    <col min="16143" max="16384" width="9.140625" style="86"/>
  </cols>
  <sheetData>
    <row r="1" spans="1:14" x14ac:dyDescent="0.2">
      <c r="A1" s="104" t="s">
        <v>77</v>
      </c>
      <c r="C1" s="105"/>
      <c r="D1" s="105"/>
      <c r="E1" s="106"/>
      <c r="F1" s="105"/>
      <c r="G1" s="105"/>
      <c r="H1" s="105"/>
      <c r="I1" s="106"/>
      <c r="J1" s="106"/>
      <c r="K1" s="106"/>
    </row>
    <row r="2" spans="1:14" x14ac:dyDescent="0.2">
      <c r="A2" s="87"/>
      <c r="C2" s="105"/>
      <c r="D2" s="105"/>
      <c r="E2" s="105"/>
      <c r="F2" s="105"/>
      <c r="G2" s="105"/>
      <c r="H2" s="105"/>
      <c r="I2" s="105"/>
      <c r="J2" s="105"/>
      <c r="K2" s="105"/>
    </row>
    <row r="3" spans="1:14" x14ac:dyDescent="0.2">
      <c r="A3" s="105"/>
      <c r="B3" s="107" t="s">
        <v>78</v>
      </c>
      <c r="C3" s="107" t="s">
        <v>79</v>
      </c>
      <c r="D3" s="107" t="s">
        <v>24</v>
      </c>
      <c r="E3" s="107" t="s">
        <v>80</v>
      </c>
      <c r="F3" s="107" t="s">
        <v>23</v>
      </c>
      <c r="G3" s="107" t="s">
        <v>16</v>
      </c>
      <c r="H3" s="107" t="s">
        <v>1</v>
      </c>
      <c r="I3" s="107" t="s">
        <v>81</v>
      </c>
      <c r="J3" s="107" t="s">
        <v>82</v>
      </c>
      <c r="K3" s="108" t="s">
        <v>83</v>
      </c>
      <c r="M3" s="109"/>
      <c r="N3" s="110"/>
    </row>
    <row r="4" spans="1:14" x14ac:dyDescent="0.2">
      <c r="A4" s="111">
        <v>42156</v>
      </c>
      <c r="B4" s="112">
        <v>77.72</v>
      </c>
      <c r="C4" s="112">
        <v>40</v>
      </c>
      <c r="D4" s="112">
        <v>98.2</v>
      </c>
      <c r="E4" s="112">
        <v>1062.3499999999999</v>
      </c>
      <c r="F4" s="112">
        <v>113.51</v>
      </c>
      <c r="G4" s="112">
        <v>-53.34</v>
      </c>
      <c r="H4" s="112">
        <v>196.72</v>
      </c>
      <c r="I4" s="112">
        <v>700</v>
      </c>
      <c r="J4" s="112">
        <v>560</v>
      </c>
      <c r="K4" s="112">
        <v>-40.19</v>
      </c>
      <c r="M4" s="109"/>
      <c r="N4" s="110"/>
    </row>
    <row r="5" spans="1:14" x14ac:dyDescent="0.2">
      <c r="A5" s="111">
        <v>42186</v>
      </c>
      <c r="B5" s="112">
        <v>83.22</v>
      </c>
      <c r="C5" s="112">
        <v>45</v>
      </c>
      <c r="D5" s="112">
        <v>109.4</v>
      </c>
      <c r="E5" s="112">
        <v>1025.56</v>
      </c>
      <c r="F5" s="112">
        <v>122.09</v>
      </c>
      <c r="G5" s="112">
        <v>-53.34</v>
      </c>
      <c r="H5" s="112">
        <v>191</v>
      </c>
      <c r="I5" s="112">
        <v>700</v>
      </c>
      <c r="J5" s="112">
        <v>440</v>
      </c>
      <c r="K5" s="112">
        <v>-5.7</v>
      </c>
      <c r="M5" s="109"/>
      <c r="N5" s="110"/>
    </row>
    <row r="6" spans="1:14" x14ac:dyDescent="0.2">
      <c r="A6" s="111">
        <v>42217</v>
      </c>
      <c r="B6" s="112">
        <v>76.22</v>
      </c>
      <c r="C6" s="112">
        <v>35</v>
      </c>
      <c r="D6" s="112">
        <v>104.02</v>
      </c>
      <c r="E6" s="112">
        <v>982.36</v>
      </c>
      <c r="F6" s="112">
        <v>66.349999999999994</v>
      </c>
      <c r="G6" s="112">
        <v>-53.34</v>
      </c>
      <c r="H6" s="112">
        <v>145.47</v>
      </c>
      <c r="I6" s="112">
        <v>600</v>
      </c>
      <c r="J6" s="112">
        <v>360</v>
      </c>
      <c r="K6" s="112">
        <v>-30</v>
      </c>
      <c r="M6" s="109"/>
      <c r="N6" s="110"/>
    </row>
    <row r="7" spans="1:14" x14ac:dyDescent="0.2">
      <c r="A7" s="111">
        <v>42248</v>
      </c>
      <c r="B7" s="112">
        <v>81.02</v>
      </c>
      <c r="C7" s="112">
        <v>35</v>
      </c>
      <c r="D7" s="112">
        <v>105.56</v>
      </c>
      <c r="E7" s="112">
        <v>1053.98</v>
      </c>
      <c r="F7" s="112">
        <v>95.66</v>
      </c>
      <c r="G7" s="112">
        <v>-53.34</v>
      </c>
      <c r="H7" s="112">
        <v>123.21</v>
      </c>
      <c r="I7" s="112">
        <v>426.88</v>
      </c>
      <c r="J7" s="112">
        <v>280</v>
      </c>
      <c r="K7" s="112">
        <v>-58.53</v>
      </c>
      <c r="M7" s="109"/>
      <c r="N7" s="110"/>
    </row>
    <row r="8" spans="1:14" x14ac:dyDescent="0.2">
      <c r="A8" s="111">
        <v>42278</v>
      </c>
      <c r="B8" s="112">
        <v>81.44</v>
      </c>
      <c r="C8" s="112">
        <v>35</v>
      </c>
      <c r="D8" s="112">
        <v>104.77</v>
      </c>
      <c r="E8" s="112">
        <v>1057.3399999999999</v>
      </c>
      <c r="F8" s="112">
        <v>76.3</v>
      </c>
      <c r="G8" s="112">
        <v>-53.34</v>
      </c>
      <c r="H8" s="112">
        <v>121</v>
      </c>
      <c r="I8" s="112">
        <v>520</v>
      </c>
      <c r="J8" s="112">
        <v>400</v>
      </c>
      <c r="K8" s="112">
        <v>-58.95</v>
      </c>
      <c r="M8" s="109"/>
      <c r="N8" s="110"/>
    </row>
    <row r="9" spans="1:14" x14ac:dyDescent="0.2">
      <c r="A9" s="111">
        <v>42309</v>
      </c>
      <c r="B9" s="112">
        <v>78.08</v>
      </c>
      <c r="C9" s="112">
        <v>30</v>
      </c>
      <c r="D9" s="112">
        <v>96.4</v>
      </c>
      <c r="E9" s="112">
        <v>987.25</v>
      </c>
      <c r="F9" s="112">
        <v>69.87</v>
      </c>
      <c r="G9" s="112">
        <v>-53.34</v>
      </c>
      <c r="H9" s="112">
        <v>113</v>
      </c>
      <c r="I9" s="112">
        <v>520</v>
      </c>
      <c r="J9" s="112">
        <v>450</v>
      </c>
      <c r="K9" s="112">
        <v>-67.239999999999995</v>
      </c>
      <c r="M9" s="109"/>
      <c r="N9" s="110"/>
    </row>
    <row r="10" spans="1:14" x14ac:dyDescent="0.2">
      <c r="A10" s="111">
        <v>42339</v>
      </c>
      <c r="B10" s="112">
        <v>74.17</v>
      </c>
      <c r="C10" s="112">
        <v>25</v>
      </c>
      <c r="D10" s="112">
        <v>100.96</v>
      </c>
      <c r="E10" s="112">
        <v>1058.98</v>
      </c>
      <c r="F10" s="112">
        <v>65.14</v>
      </c>
      <c r="G10" s="112">
        <v>-53.34</v>
      </c>
      <c r="H10" s="112">
        <v>111</v>
      </c>
      <c r="I10" s="112">
        <v>500</v>
      </c>
      <c r="J10" s="112">
        <v>450</v>
      </c>
      <c r="K10" s="112">
        <v>-65</v>
      </c>
      <c r="M10" s="109"/>
      <c r="N10" s="110"/>
    </row>
    <row r="11" spans="1:14" x14ac:dyDescent="0.2">
      <c r="A11" s="111">
        <v>42370</v>
      </c>
      <c r="B11" s="112">
        <v>70.22</v>
      </c>
      <c r="C11" s="112">
        <v>20</v>
      </c>
      <c r="D11" s="112">
        <v>100.04</v>
      </c>
      <c r="E11" s="112">
        <v>1073.98</v>
      </c>
      <c r="F11" s="112">
        <v>64.7</v>
      </c>
      <c r="G11" s="112">
        <v>-53.34</v>
      </c>
      <c r="H11" s="112">
        <v>85</v>
      </c>
      <c r="I11" s="112">
        <v>460</v>
      </c>
      <c r="J11" s="112">
        <v>442</v>
      </c>
      <c r="K11" s="112">
        <v>-68.59</v>
      </c>
      <c r="M11" s="109"/>
      <c r="N11" s="110"/>
    </row>
    <row r="12" spans="1:14" x14ac:dyDescent="0.2">
      <c r="A12" s="111">
        <v>42401</v>
      </c>
      <c r="B12" s="112">
        <v>77.27</v>
      </c>
      <c r="C12" s="112">
        <v>20</v>
      </c>
      <c r="D12" s="112">
        <v>100.88</v>
      </c>
      <c r="E12" s="112">
        <v>1164.54</v>
      </c>
      <c r="F12" s="112">
        <v>68.97</v>
      </c>
      <c r="G12" s="112">
        <v>-53.34</v>
      </c>
      <c r="H12" s="112">
        <v>84.59</v>
      </c>
      <c r="I12" s="112">
        <v>453.45</v>
      </c>
      <c r="J12" s="112">
        <v>370</v>
      </c>
      <c r="K12" s="112">
        <v>-70</v>
      </c>
      <c r="M12" s="109"/>
      <c r="N12" s="110"/>
    </row>
    <row r="13" spans="1:14" x14ac:dyDescent="0.2">
      <c r="A13" s="111">
        <v>42430</v>
      </c>
      <c r="B13" s="112">
        <v>78.47</v>
      </c>
      <c r="C13" s="112">
        <v>26</v>
      </c>
      <c r="D13" s="112">
        <v>106.73</v>
      </c>
      <c r="E13" s="112">
        <v>1040.54</v>
      </c>
      <c r="F13" s="112">
        <v>69.17</v>
      </c>
      <c r="G13" s="112">
        <v>-53.34</v>
      </c>
      <c r="H13" s="112">
        <v>122</v>
      </c>
      <c r="I13" s="112">
        <v>440</v>
      </c>
      <c r="J13" s="112">
        <v>300</v>
      </c>
      <c r="K13" s="112">
        <v>-70</v>
      </c>
      <c r="M13" s="109"/>
      <c r="N13" s="110"/>
    </row>
    <row r="14" spans="1:14" x14ac:dyDescent="0.2">
      <c r="A14" s="111">
        <v>42461</v>
      </c>
      <c r="B14" s="112">
        <v>83.44</v>
      </c>
      <c r="C14" s="112">
        <v>36</v>
      </c>
      <c r="D14" s="112">
        <v>106.44</v>
      </c>
      <c r="E14" s="112">
        <v>1110.78</v>
      </c>
      <c r="F14" s="112">
        <v>87.03</v>
      </c>
      <c r="G14" s="112">
        <v>-53.34</v>
      </c>
      <c r="H14" s="112">
        <v>141</v>
      </c>
      <c r="I14" s="112">
        <v>520</v>
      </c>
      <c r="J14" s="112">
        <v>400</v>
      </c>
      <c r="K14" s="112">
        <v>-31.9</v>
      </c>
      <c r="N14" s="110"/>
    </row>
    <row r="15" spans="1:14" x14ac:dyDescent="0.2">
      <c r="A15" s="111">
        <v>42491</v>
      </c>
      <c r="B15" s="112">
        <v>83.37</v>
      </c>
      <c r="C15" s="112">
        <v>44</v>
      </c>
      <c r="D15" s="112">
        <v>105.41</v>
      </c>
      <c r="E15" s="112">
        <v>1074.06</v>
      </c>
      <c r="F15" s="112">
        <v>123.89</v>
      </c>
      <c r="G15" s="112">
        <v>-53.34</v>
      </c>
      <c r="H15" s="112">
        <v>163</v>
      </c>
      <c r="I15" s="112">
        <v>625.11</v>
      </c>
      <c r="J15" s="112">
        <v>470</v>
      </c>
      <c r="K15" s="112">
        <v>-43.86</v>
      </c>
      <c r="N15" s="110"/>
    </row>
  </sheetData>
  <pageMargins left="0.7" right="0.7" top="0.75" bottom="0.75" header="0.3" footer="0.3"/>
  <pageSetup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D24" sqref="D24"/>
    </sheetView>
  </sheetViews>
  <sheetFormatPr defaultRowHeight="12.75" x14ac:dyDescent="0.2"/>
  <cols>
    <col min="1" max="1" width="38.85546875" bestFit="1" customWidth="1"/>
    <col min="2" max="2" width="4.7109375" customWidth="1"/>
    <col min="3" max="3" width="12.85546875" bestFit="1" customWidth="1"/>
    <col min="4" max="4" width="11.28515625" bestFit="1" customWidth="1"/>
    <col min="5" max="14" width="10.28515625" bestFit="1" customWidth="1"/>
    <col min="15" max="15" width="3.7109375" customWidth="1"/>
    <col min="16" max="16" width="11.28515625" bestFit="1" customWidth="1"/>
  </cols>
  <sheetData>
    <row r="1" spans="1:16" ht="23.25" x14ac:dyDescent="0.35">
      <c r="A1" s="22" t="s">
        <v>36</v>
      </c>
    </row>
    <row r="2" spans="1:16" x14ac:dyDescent="0.2">
      <c r="A2" s="1" t="s">
        <v>102</v>
      </c>
    </row>
    <row r="6" spans="1:16" s="122" customFormat="1" x14ac:dyDescent="0.2">
      <c r="A6" s="3"/>
      <c r="B6" s="3"/>
      <c r="C6" s="121">
        <v>42156</v>
      </c>
      <c r="D6" s="121">
        <v>42186</v>
      </c>
      <c r="E6" s="121">
        <v>42217</v>
      </c>
      <c r="F6" s="121">
        <v>42248</v>
      </c>
      <c r="G6" s="121">
        <v>42278</v>
      </c>
      <c r="H6" s="121">
        <v>42309</v>
      </c>
      <c r="I6" s="121">
        <v>42339</v>
      </c>
      <c r="J6" s="121">
        <v>42370</v>
      </c>
      <c r="K6" s="121">
        <v>42401</v>
      </c>
      <c r="L6" s="121">
        <v>42430</v>
      </c>
      <c r="M6" s="121">
        <v>42461</v>
      </c>
      <c r="N6" s="121">
        <v>42491</v>
      </c>
      <c r="P6" s="116"/>
    </row>
    <row r="7" spans="1:16" x14ac:dyDescent="0.2">
      <c r="A7" s="3" t="s">
        <v>96</v>
      </c>
      <c r="B7" s="1"/>
    </row>
    <row r="8" spans="1:16" s="118" customFormat="1" x14ac:dyDescent="0.2">
      <c r="A8" s="120" t="s">
        <v>87</v>
      </c>
      <c r="B8" s="119"/>
      <c r="C8" s="76">
        <v>481</v>
      </c>
      <c r="D8" s="76">
        <v>479</v>
      </c>
      <c r="E8" s="76">
        <v>491</v>
      </c>
      <c r="F8" s="76">
        <v>498</v>
      </c>
      <c r="G8" s="76">
        <v>510</v>
      </c>
      <c r="H8" s="76">
        <v>514</v>
      </c>
      <c r="I8" s="76">
        <v>516</v>
      </c>
      <c r="J8" s="76">
        <v>525</v>
      </c>
      <c r="K8" s="76">
        <v>536</v>
      </c>
      <c r="L8" s="76">
        <v>542</v>
      </c>
      <c r="M8" s="76">
        <v>549</v>
      </c>
      <c r="N8" s="76">
        <v>551</v>
      </c>
    </row>
    <row r="9" spans="1:16" s="118" customFormat="1" x14ac:dyDescent="0.2">
      <c r="A9" s="120" t="s">
        <v>86</v>
      </c>
      <c r="B9" s="119"/>
      <c r="C9" s="76">
        <v>1284</v>
      </c>
      <c r="D9" s="76">
        <v>1287</v>
      </c>
      <c r="E9" s="76">
        <v>1295</v>
      </c>
      <c r="F9" s="76">
        <v>1293</v>
      </c>
      <c r="G9" s="76">
        <v>1288</v>
      </c>
      <c r="H9" s="76">
        <v>1330</v>
      </c>
      <c r="I9" s="76">
        <v>1329</v>
      </c>
      <c r="J9" s="76">
        <v>1326</v>
      </c>
      <c r="K9" s="76">
        <v>1322</v>
      </c>
      <c r="L9" s="76">
        <v>1329</v>
      </c>
      <c r="M9" s="76">
        <v>1338</v>
      </c>
      <c r="N9" s="76">
        <v>1346</v>
      </c>
    </row>
    <row r="10" spans="1:16" s="118" customFormat="1" x14ac:dyDescent="0.2">
      <c r="A10" s="120" t="s">
        <v>88</v>
      </c>
      <c r="B10" s="119"/>
      <c r="C10" s="76">
        <v>3020</v>
      </c>
      <c r="D10" s="76">
        <v>3034</v>
      </c>
      <c r="E10" s="76">
        <v>3017</v>
      </c>
      <c r="F10" s="76">
        <v>3004</v>
      </c>
      <c r="G10" s="76">
        <v>3025</v>
      </c>
      <c r="H10" s="76">
        <v>3033</v>
      </c>
      <c r="I10" s="76">
        <v>2991</v>
      </c>
      <c r="J10" s="76">
        <v>3008</v>
      </c>
      <c r="K10" s="76">
        <v>3004</v>
      </c>
      <c r="L10" s="76">
        <v>3010</v>
      </c>
      <c r="M10" s="76">
        <v>3073</v>
      </c>
      <c r="N10" s="76">
        <v>3089</v>
      </c>
    </row>
    <row r="11" spans="1:16" s="118" customFormat="1" ht="15" x14ac:dyDescent="0.35">
      <c r="A11" s="120" t="s">
        <v>89</v>
      </c>
      <c r="B11" s="119"/>
      <c r="C11" s="123">
        <v>22576</v>
      </c>
      <c r="D11" s="123">
        <v>22619</v>
      </c>
      <c r="E11" s="123">
        <v>22267</v>
      </c>
      <c r="F11" s="123">
        <v>22184</v>
      </c>
      <c r="G11" s="123">
        <v>22344</v>
      </c>
      <c r="H11" s="123">
        <v>22416</v>
      </c>
      <c r="I11" s="123">
        <v>22119</v>
      </c>
      <c r="J11" s="123">
        <v>22223</v>
      </c>
      <c r="K11" s="123">
        <v>22317</v>
      </c>
      <c r="L11" s="123">
        <v>22311</v>
      </c>
      <c r="M11" s="123">
        <v>22592</v>
      </c>
      <c r="N11" s="123">
        <v>22683</v>
      </c>
    </row>
    <row r="12" spans="1:16" s="118" customFormat="1" ht="15" x14ac:dyDescent="0.35">
      <c r="A12" s="119" t="s">
        <v>95</v>
      </c>
      <c r="B12" s="119"/>
      <c r="C12" s="127">
        <f>SUM(C8:C11)</f>
        <v>27361</v>
      </c>
      <c r="D12" s="127">
        <f t="shared" ref="D12:N12" si="0">SUM(D8:D11)</f>
        <v>27419</v>
      </c>
      <c r="E12" s="127">
        <f t="shared" si="0"/>
        <v>27070</v>
      </c>
      <c r="F12" s="127">
        <f t="shared" si="0"/>
        <v>26979</v>
      </c>
      <c r="G12" s="127">
        <f t="shared" si="0"/>
        <v>27167</v>
      </c>
      <c r="H12" s="127">
        <f t="shared" si="0"/>
        <v>27293</v>
      </c>
      <c r="I12" s="127">
        <f t="shared" si="0"/>
        <v>26955</v>
      </c>
      <c r="J12" s="127">
        <f t="shared" si="0"/>
        <v>27082</v>
      </c>
      <c r="K12" s="127">
        <f t="shared" si="0"/>
        <v>27179</v>
      </c>
      <c r="L12" s="127">
        <f t="shared" si="0"/>
        <v>27192</v>
      </c>
      <c r="M12" s="127">
        <f t="shared" si="0"/>
        <v>27552</v>
      </c>
      <c r="N12" s="127">
        <f t="shared" si="0"/>
        <v>27669</v>
      </c>
    </row>
    <row r="13" spans="1:16" s="118" customFormat="1" x14ac:dyDescent="0.2">
      <c r="A13" s="119"/>
      <c r="B13" s="119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6" s="125" customFormat="1" x14ac:dyDescent="0.2">
      <c r="A14" s="119" t="s">
        <v>94</v>
      </c>
      <c r="C14" s="126">
        <v>21232</v>
      </c>
      <c r="D14" s="126">
        <v>21247</v>
      </c>
      <c r="E14" s="126">
        <v>21350</v>
      </c>
      <c r="F14" s="126">
        <v>21355</v>
      </c>
      <c r="G14" s="126">
        <v>21320</v>
      </c>
      <c r="H14" s="126">
        <v>21359</v>
      </c>
      <c r="I14" s="126">
        <v>21250</v>
      </c>
      <c r="J14" s="126">
        <v>21290</v>
      </c>
      <c r="K14" s="126">
        <v>21277</v>
      </c>
      <c r="L14" s="126">
        <v>21387</v>
      </c>
      <c r="M14" s="126">
        <v>21630</v>
      </c>
      <c r="N14" s="126">
        <v>21602</v>
      </c>
    </row>
    <row r="16" spans="1:16" ht="15" x14ac:dyDescent="0.35">
      <c r="C16" s="14">
        <f>+C14+C12</f>
        <v>48593</v>
      </c>
      <c r="D16" s="14">
        <f t="shared" ref="D16:N16" si="1">+D14+D12</f>
        <v>48666</v>
      </c>
      <c r="E16" s="14">
        <f t="shared" si="1"/>
        <v>48420</v>
      </c>
      <c r="F16" s="14">
        <f t="shared" si="1"/>
        <v>48334</v>
      </c>
      <c r="G16" s="14">
        <f t="shared" si="1"/>
        <v>48487</v>
      </c>
      <c r="H16" s="14">
        <f t="shared" si="1"/>
        <v>48652</v>
      </c>
      <c r="I16" s="14">
        <f t="shared" si="1"/>
        <v>48205</v>
      </c>
      <c r="J16" s="14">
        <f t="shared" si="1"/>
        <v>48372</v>
      </c>
      <c r="K16" s="14">
        <f t="shared" si="1"/>
        <v>48456</v>
      </c>
      <c r="L16" s="14">
        <f t="shared" si="1"/>
        <v>48579</v>
      </c>
      <c r="M16" s="14">
        <f t="shared" si="1"/>
        <v>49182</v>
      </c>
      <c r="N16" s="14">
        <f t="shared" si="1"/>
        <v>49271</v>
      </c>
    </row>
    <row r="18" spans="1:16" x14ac:dyDescent="0.2">
      <c r="A18" s="1" t="s">
        <v>97</v>
      </c>
      <c r="C18" s="115">
        <f>+C14/C16</f>
        <v>0.43693536106023501</v>
      </c>
      <c r="D18" s="115">
        <f t="shared" ref="D18:N18" si="2">+D14/D16</f>
        <v>0.43658817244071835</v>
      </c>
      <c r="E18" s="115">
        <f t="shared" si="2"/>
        <v>0.44093349855431641</v>
      </c>
      <c r="F18" s="115">
        <f t="shared" si="2"/>
        <v>0.44182149211735011</v>
      </c>
      <c r="G18" s="115">
        <f t="shared" si="2"/>
        <v>0.43970548806896692</v>
      </c>
      <c r="H18" s="115">
        <f t="shared" si="2"/>
        <v>0.43901586779577406</v>
      </c>
      <c r="I18" s="115">
        <f t="shared" si="2"/>
        <v>0.44082564049372469</v>
      </c>
      <c r="J18" s="115">
        <f t="shared" si="2"/>
        <v>0.4401306540974117</v>
      </c>
      <c r="K18" s="115">
        <f t="shared" si="2"/>
        <v>0.43909938913653623</v>
      </c>
      <c r="L18" s="115">
        <f t="shared" si="2"/>
        <v>0.44025196072376954</v>
      </c>
      <c r="M18" s="115">
        <f t="shared" si="2"/>
        <v>0.43979504696840305</v>
      </c>
      <c r="N18" s="115">
        <f t="shared" si="2"/>
        <v>0.43843234356923949</v>
      </c>
    </row>
    <row r="20" spans="1:16" x14ac:dyDescent="0.2">
      <c r="A20" s="1" t="s">
        <v>98</v>
      </c>
      <c r="C20" s="129">
        <f>1-C18</f>
        <v>0.56306463893976499</v>
      </c>
      <c r="D20" s="129">
        <f t="shared" ref="D20:N20" si="3">1-D18</f>
        <v>0.56341182755928165</v>
      </c>
      <c r="E20" s="129">
        <f t="shared" si="3"/>
        <v>0.55906650144568359</v>
      </c>
      <c r="F20" s="129">
        <f t="shared" si="3"/>
        <v>0.55817850788264989</v>
      </c>
      <c r="G20" s="129">
        <f t="shared" si="3"/>
        <v>0.56029451193103308</v>
      </c>
      <c r="H20" s="129">
        <f t="shared" si="3"/>
        <v>0.56098413220422594</v>
      </c>
      <c r="I20" s="129">
        <f t="shared" si="3"/>
        <v>0.55917435950627525</v>
      </c>
      <c r="J20" s="129">
        <f t="shared" si="3"/>
        <v>0.5598693459025883</v>
      </c>
      <c r="K20" s="129">
        <f t="shared" si="3"/>
        <v>0.56090061086346377</v>
      </c>
      <c r="L20" s="129">
        <f t="shared" si="3"/>
        <v>0.5597480392762304</v>
      </c>
      <c r="M20" s="129">
        <f t="shared" si="3"/>
        <v>0.5602049530315969</v>
      </c>
      <c r="N20" s="129">
        <f t="shared" si="3"/>
        <v>0.56156765643076056</v>
      </c>
    </row>
    <row r="23" spans="1:16" s="1" customFormat="1" x14ac:dyDescent="0.2">
      <c r="A23" s="1" t="s">
        <v>101</v>
      </c>
      <c r="C23" s="136">
        <v>-401.57</v>
      </c>
      <c r="D23" s="136">
        <v>-419.59</v>
      </c>
      <c r="E23" s="136">
        <v>-481.21</v>
      </c>
      <c r="F23" s="136">
        <v>-481.21</v>
      </c>
      <c r="G23" s="136">
        <v>-481.21</v>
      </c>
      <c r="H23" s="136">
        <v>-480.78999999999996</v>
      </c>
      <c r="I23" s="136">
        <v>-480.78999999999996</v>
      </c>
      <c r="J23" s="136">
        <v>-480.78999999999996</v>
      </c>
      <c r="K23" s="136">
        <v>-464.56</v>
      </c>
      <c r="L23" s="136">
        <v>-474.79</v>
      </c>
      <c r="M23" s="136">
        <v>-474.79</v>
      </c>
      <c r="N23" s="136">
        <v>-474.79</v>
      </c>
      <c r="O23" s="136"/>
      <c r="P23" s="136">
        <f>SUM(C23:N23)</f>
        <v>-5596.09</v>
      </c>
    </row>
    <row r="24" spans="1:16" x14ac:dyDescent="0.2">
      <c r="A24" s="6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3"/>
    </row>
    <row r="25" spans="1:16" ht="15" x14ac:dyDescent="0.35">
      <c r="A25" s="1" t="s">
        <v>99</v>
      </c>
      <c r="C25" s="137">
        <v>0.26</v>
      </c>
      <c r="D25" s="137">
        <v>0.26</v>
      </c>
      <c r="E25" s="131">
        <v>0.3</v>
      </c>
      <c r="F25" s="131">
        <v>0.3</v>
      </c>
      <c r="G25" s="131">
        <v>0.3</v>
      </c>
      <c r="H25" s="131">
        <v>0.3</v>
      </c>
      <c r="I25" s="131">
        <v>0.3</v>
      </c>
      <c r="J25" s="131">
        <v>0.3</v>
      </c>
      <c r="K25" s="131">
        <v>0.3</v>
      </c>
      <c r="L25" s="131">
        <v>0.3</v>
      </c>
      <c r="M25" s="131">
        <v>0.3</v>
      </c>
      <c r="N25" s="131">
        <v>0.3</v>
      </c>
      <c r="O25" s="131"/>
      <c r="P25" s="131"/>
    </row>
    <row r="27" spans="1:16" ht="15" x14ac:dyDescent="0.35">
      <c r="A27" s="1" t="s">
        <v>100</v>
      </c>
      <c r="B27" s="132"/>
      <c r="C27" s="133">
        <f t="shared" ref="C27:N27" si="4">-(C23)/C25</f>
        <v>1544.5</v>
      </c>
      <c r="D27" s="133">
        <f t="shared" si="4"/>
        <v>1613.8076923076922</v>
      </c>
      <c r="E27" s="133">
        <f t="shared" si="4"/>
        <v>1604.0333333333333</v>
      </c>
      <c r="F27" s="133">
        <f t="shared" si="4"/>
        <v>1604.0333333333333</v>
      </c>
      <c r="G27" s="133">
        <f t="shared" si="4"/>
        <v>1604.0333333333333</v>
      </c>
      <c r="H27" s="133">
        <f t="shared" si="4"/>
        <v>1602.6333333333332</v>
      </c>
      <c r="I27" s="133">
        <f t="shared" si="4"/>
        <v>1602.6333333333332</v>
      </c>
      <c r="J27" s="133">
        <f t="shared" si="4"/>
        <v>1602.6333333333332</v>
      </c>
      <c r="K27" s="133">
        <f t="shared" si="4"/>
        <v>1548.5333333333333</v>
      </c>
      <c r="L27" s="133">
        <f t="shared" si="4"/>
        <v>1582.6333333333334</v>
      </c>
      <c r="M27" s="133">
        <f t="shared" si="4"/>
        <v>1582.6333333333334</v>
      </c>
      <c r="N27" s="133">
        <f t="shared" si="4"/>
        <v>1582.6333333333334</v>
      </c>
      <c r="O27" s="134"/>
      <c r="P27" s="14">
        <f>SUM(C27:O27)</f>
        <v>19074.741025641026</v>
      </c>
    </row>
    <row r="28" spans="1:16" x14ac:dyDescent="0.2">
      <c r="C28" s="13"/>
    </row>
    <row r="30" spans="1:16" x14ac:dyDescent="0.2">
      <c r="C30" s="139"/>
      <c r="D30" s="139"/>
      <c r="E30" s="139"/>
      <c r="F30" s="139"/>
      <c r="G30" s="139"/>
      <c r="H30" s="139"/>
      <c r="I30" s="139"/>
    </row>
    <row r="32" spans="1:16" x14ac:dyDescent="0.2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</sheetData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08F89E18A021498F1467FF015A29A6" ma:contentTypeVersion="104" ma:contentTypeDescription="" ma:contentTypeScope="" ma:versionID="05729b6e975d269a851cc2bf801f60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2016-08-31T07:00:00+00:00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161040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44AF7E-1B8A-4617-B049-D534BA084F26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5573D51-5064-471F-BA9E-EF9683F98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Rebate Calculation</vt:lpstr>
      <vt:lpstr>Tons &amp; Revenue</vt:lpstr>
      <vt:lpstr>Composition</vt:lpstr>
      <vt:lpstr>Prices</vt:lpstr>
      <vt:lpstr>Res'l &amp; MF Customers</vt:lpstr>
      <vt:lpstr>Composition!Print_Area</vt:lpstr>
      <vt:lpstr>Prices!Print_Area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Weinstein, Mike</cp:lastModifiedBy>
  <cp:lastPrinted>2016-06-16T17:40:28Z</cp:lastPrinted>
  <dcterms:created xsi:type="dcterms:W3CDTF">2004-02-20T19:40:08Z</dcterms:created>
  <dcterms:modified xsi:type="dcterms:W3CDTF">2016-08-31T14:36:50Z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0x0101006E56B4D1795A2E4DB2F0B01679ED314A00B108F89E18A021498F1467FF015A29A6</vt:lpwstr>
  </property>
  <property fmtid="{D5CDD505-2E9C-101B-9397-08002B2CF9AE}" pid="3" name="_docset_NoMedatataSyncRequired">
    <vt:lpwstr>False</vt:lpwstr>
  </property>
</Properties>
</file>