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heckCompatibility="1" defaultThemeVersion="124226"/>
  <bookViews>
    <workbookView xWindow="-15" yWindow="-15" windowWidth="6915" windowHeight="4560" tabRatio="691"/>
  </bookViews>
  <sheets>
    <sheet name="References" sheetId="5" r:id="rId1"/>
    <sheet name="Staff Calcs " sheetId="6" r:id="rId2"/>
    <sheet name="Rate Sheet" sheetId="3" r:id="rId3"/>
    <sheet name="2180 (Reg.) - Price Out " sheetId="1" r:id="rId4"/>
    <sheet name="PCR Disposal" sheetId="2" r:id="rId5"/>
    <sheet name="EQR Disposal" sheetId="4" r:id="rId6"/>
  </sheets>
  <externalReferences>
    <externalReference r:id="rId7"/>
    <externalReference r:id="rId8"/>
    <externalReference r:id="rId9"/>
    <externalReference r:id="rId10"/>
  </externalReferences>
  <definedNames>
    <definedName name="_ACT1">[1]Hidden!#REF!</definedName>
    <definedName name="_ACT2">[1]Hidden!#REF!</definedName>
    <definedName name="_ACT3">[1]Hidden!#REF!</definedName>
    <definedName name="ACCT">[1]Hidden!#REF!</definedName>
    <definedName name="ACT_CUR">[1]Hidden!#REF!</definedName>
    <definedName name="ACT_YTD">[1]Hidden!#REF!</definedName>
    <definedName name="AmountCount">#REF!</definedName>
    <definedName name="AmountTotal">#REF!</definedName>
    <definedName name="BREMAIR_COST_of_SERVICE_STUDY">#REF!</definedName>
    <definedName name="BUD_CUR">[1]Hidden!#REF!</definedName>
    <definedName name="BUD_YTD">[1]Hidden!#REF!</definedName>
    <definedName name="CheckTotals">#REF!</definedName>
    <definedName name="CRCTable">#REF!</definedName>
    <definedName name="CRCTableOLD">#REF!</definedName>
    <definedName name="CriteriaType">[2]ControlPanel!$Z$2:$Z$5</definedName>
    <definedName name="Cutomers">#REF!</definedName>
    <definedName name="_xlnm.Database">#REF!</definedName>
    <definedName name="Database1">#REF!</definedName>
    <definedName name="DEPT">[1]Hidden!#REF!</definedName>
    <definedName name="DistrictNum">#REF!</definedName>
    <definedName name="End">#REF!</definedName>
    <definedName name="FBTable">#REF!</definedName>
    <definedName name="FBTableOld">#REF!</definedName>
    <definedName name="GLMappingStart">#REF!</definedName>
    <definedName name="IncomeStmnt">#REF!</definedName>
    <definedName name="INPUT">#REF!</definedName>
    <definedName name="Insurance">#REF!</definedName>
    <definedName name="JEDetail">#REF!</definedName>
    <definedName name="JEType">#REF!</definedName>
    <definedName name="lblBillAreaStatus">#REF!</definedName>
    <definedName name="lblBillCycleStatus">#REF!</definedName>
    <definedName name="lblCategoryStatus">#REF!</definedName>
    <definedName name="lblCompanyStatus">#REF!</definedName>
    <definedName name="lblDatabaseStatus">#REF!</definedName>
    <definedName name="lblPullStatus">#REF!</definedName>
    <definedName name="lllllllllllllllllllll">#REF!</definedName>
    <definedName name="MainDataEnd">#REF!</definedName>
    <definedName name="MainDataStart">#REF!</definedName>
    <definedName name="MapKeyStart">#REF!</definedName>
    <definedName name="master_def">#REF!</definedName>
    <definedName name="NewOnlyOrg">#N/A</definedName>
    <definedName name="NOTES">#REF!</definedName>
    <definedName name="OfficerSalary">#N/A</definedName>
    <definedName name="OffsetAcctBil">[3]JEexport!$L$10</definedName>
    <definedName name="OffsetAcctPmt">[3]JEexport!$L$9</definedName>
    <definedName name="Org11_13">#N/A</definedName>
    <definedName name="Org7_10">#N/A</definedName>
    <definedName name="PAGE_1">#REF!</definedName>
    <definedName name="pBatchID">#REF!</definedName>
    <definedName name="pBillArea">#REF!</definedName>
    <definedName name="pBillCycle">#REF!</definedName>
    <definedName name="pCategory">#REF!</definedName>
    <definedName name="pCompany">#REF!</definedName>
    <definedName name="pCustomerNumber">#REF!</definedName>
    <definedName name="pDatabase">#REF!</definedName>
    <definedName name="pEndPostDate">#REF!</definedName>
    <definedName name="Period">#REF!</definedName>
    <definedName name="pMonth">#REF!</definedName>
    <definedName name="pOnlyShowLastTranx">#REF!</definedName>
    <definedName name="_xlnm.Print_Area" localSheetId="3">'2180 (Reg.) - Price Out '!$B$1:$S$220</definedName>
    <definedName name="_xlnm.Print_Area" localSheetId="4">'PCR Disposal'!$A$1:$V$35</definedName>
    <definedName name="_xlnm.Print_Area">#REF!</definedName>
    <definedName name="Print_Area_MI">#REF!</definedName>
    <definedName name="Print_Area1">#REF!</definedName>
    <definedName name="Print_Area2">#REF!</definedName>
    <definedName name="Print_Area3">#REF!</definedName>
    <definedName name="Print_Area5">#REF!</definedName>
    <definedName name="_xlnm.Print_Titles" localSheetId="3">'2180 (Reg.) - Price Out '!$B:$B,'2180 (Reg.) - Price Out '!$1:$6</definedName>
    <definedName name="Print1">#REF!</definedName>
    <definedName name="Print2">#REF!</definedName>
    <definedName name="Print5">#REF!</definedName>
    <definedName name="pServer">#REF!</definedName>
    <definedName name="pServiceCode">#REF!</definedName>
    <definedName name="pShowAllUnposted">#REF!</definedName>
    <definedName name="pShowCustomerDetail">#REF!</definedName>
    <definedName name="pSortOption">#REF!</definedName>
    <definedName name="pStartPostDate">#REF!</definedName>
    <definedName name="pTransType">#REF!</definedName>
    <definedName name="RCW_81.04.080">#N/A</definedName>
    <definedName name="RecyDisposal">#N/A</definedName>
    <definedName name="RelatedSalary">#N/A</definedName>
    <definedName name="ReportNames">[2]ControlPanel!$X$2:$X$8</definedName>
    <definedName name="RetainedEarnings">#REF!</definedName>
    <definedName name="RevCust">[4]RevenuesCust!#REF!</definedName>
    <definedName name="sortcol">#REF!</definedName>
    <definedName name="SWDisposal">#N/A</definedName>
    <definedName name="TemplateEnd">#REF!</definedName>
    <definedName name="TemplateStart">#REF!</definedName>
    <definedName name="TheTable">#REF!</definedName>
    <definedName name="TheTableOLD">#REF!</definedName>
    <definedName name="Transactions">#REF!</definedName>
    <definedName name="WTable">#REF!</definedName>
    <definedName name="WTableOld">#REF!</definedName>
    <definedName name="xtabin">[1]Hidden!#REF!</definedName>
    <definedName name="xx">#REF!</definedName>
    <definedName name="YWMedWasteDisp">#N/A</definedName>
  </definedNames>
  <calcPr calcId="125725" concurrentManualCount="4"/>
</workbook>
</file>

<file path=xl/calcChain.xml><?xml version="1.0" encoding="utf-8"?>
<calcChain xmlns="http://schemas.openxmlformats.org/spreadsheetml/2006/main">
  <c r="D107" i="3"/>
  <c r="Q32" i="2" l="1"/>
  <c r="Q22"/>
  <c r="D58" i="5"/>
  <c r="M171" i="6"/>
  <c r="M172"/>
  <c r="M173"/>
  <c r="M170"/>
  <c r="M169"/>
  <c r="M168"/>
  <c r="F43"/>
  <c r="G126"/>
  <c r="J3" i="5" l="1"/>
  <c r="J4"/>
  <c r="J5"/>
  <c r="J6"/>
  <c r="J7"/>
  <c r="M210" i="6"/>
  <c r="M209"/>
  <c r="M208"/>
  <c r="M207"/>
  <c r="M206"/>
  <c r="M205"/>
  <c r="M204"/>
  <c r="M203"/>
  <c r="M202"/>
  <c r="M201"/>
  <c r="M200"/>
  <c r="M199"/>
  <c r="M198"/>
  <c r="M197"/>
  <c r="M196"/>
  <c r="M195"/>
  <c r="M189"/>
  <c r="M188"/>
  <c r="M187"/>
  <c r="M186"/>
  <c r="M185"/>
  <c r="M175"/>
  <c r="M174"/>
  <c r="M134"/>
  <c r="M135" s="1"/>
  <c r="M133"/>
  <c r="M132"/>
  <c r="M130"/>
  <c r="M128"/>
  <c r="M127"/>
  <c r="M126"/>
  <c r="M125"/>
  <c r="M124"/>
  <c r="M123"/>
  <c r="M122"/>
  <c r="M120"/>
  <c r="M121" s="1"/>
  <c r="M118"/>
  <c r="M113"/>
  <c r="M117"/>
  <c r="M116"/>
  <c r="M115"/>
  <c r="M112"/>
  <c r="M111"/>
  <c r="M109"/>
  <c r="M107"/>
  <c r="M106"/>
  <c r="M105"/>
  <c r="M93"/>
  <c r="M94"/>
  <c r="M95"/>
  <c r="M96"/>
  <c r="M97"/>
  <c r="M92"/>
  <c r="M91"/>
  <c r="M90"/>
  <c r="M89"/>
  <c r="M88"/>
  <c r="M87"/>
  <c r="M86"/>
  <c r="M85"/>
  <c r="M84"/>
  <c r="M83"/>
  <c r="M82"/>
  <c r="M81"/>
  <c r="M80"/>
  <c r="M79"/>
  <c r="M78"/>
  <c r="M77"/>
  <c r="M76"/>
  <c r="M75"/>
  <c r="M74"/>
  <c r="M73"/>
  <c r="M72"/>
  <c r="M71"/>
  <c r="M70"/>
  <c r="M69"/>
  <c r="H79" i="1"/>
  <c r="M68" i="6" l="1"/>
  <c r="M67"/>
  <c r="M66"/>
  <c r="M57"/>
  <c r="M55"/>
  <c r="M40"/>
  <c r="M42" s="1"/>
  <c r="M39"/>
  <c r="M41" s="1"/>
  <c r="M38"/>
  <c r="M37"/>
  <c r="M36"/>
  <c r="M35"/>
  <c r="M34"/>
  <c r="M32"/>
  <c r="M30"/>
  <c r="M29"/>
  <c r="M31" s="1"/>
  <c r="M28"/>
  <c r="M27"/>
  <c r="M26"/>
  <c r="M25"/>
  <c r="M23"/>
  <c r="M22"/>
  <c r="M24" s="1"/>
  <c r="M21"/>
  <c r="M20"/>
  <c r="M19"/>
  <c r="M18"/>
  <c r="M16"/>
  <c r="M17" s="1"/>
  <c r="M15"/>
  <c r="M14"/>
  <c r="M13"/>
  <c r="M12"/>
  <c r="M11"/>
  <c r="M10"/>
  <c r="M9"/>
  <c r="M8"/>
  <c r="M7"/>
  <c r="M6"/>
  <c r="M5"/>
  <c r="M3"/>
  <c r="M4"/>
  <c r="K205" i="1"/>
  <c r="M213"/>
  <c r="K213"/>
  <c r="H213"/>
  <c r="M104" i="6" l="1"/>
  <c r="G125" l="1"/>
  <c r="E126"/>
  <c r="E125"/>
  <c r="G135"/>
  <c r="G134"/>
  <c r="G133"/>
  <c r="G130"/>
  <c r="G127"/>
  <c r="G124"/>
  <c r="G106"/>
  <c r="G105"/>
  <c r="G205"/>
  <c r="G204"/>
  <c r="G203"/>
  <c r="G202"/>
  <c r="O205"/>
  <c r="O204"/>
  <c r="O203"/>
  <c r="O202"/>
  <c r="E205"/>
  <c r="F205" s="1"/>
  <c r="H205" s="1"/>
  <c r="E204"/>
  <c r="F204" s="1"/>
  <c r="E203"/>
  <c r="F203" s="1"/>
  <c r="H203" s="1"/>
  <c r="E202"/>
  <c r="F202" s="1"/>
  <c r="O210"/>
  <c r="O209"/>
  <c r="O208"/>
  <c r="O207"/>
  <c r="O206"/>
  <c r="G210"/>
  <c r="G209"/>
  <c r="G208"/>
  <c r="G207"/>
  <c r="G206"/>
  <c r="E210"/>
  <c r="F210" s="1"/>
  <c r="E209"/>
  <c r="E208"/>
  <c r="E207"/>
  <c r="E206"/>
  <c r="C199"/>
  <c r="E199"/>
  <c r="F199" s="1"/>
  <c r="G199"/>
  <c r="O199"/>
  <c r="C200"/>
  <c r="E200"/>
  <c r="F200" s="1"/>
  <c r="G200"/>
  <c r="O200"/>
  <c r="O201"/>
  <c r="O198"/>
  <c r="O197"/>
  <c r="O196"/>
  <c r="O195"/>
  <c r="G201"/>
  <c r="G198"/>
  <c r="G197"/>
  <c r="G196"/>
  <c r="G195"/>
  <c r="E201"/>
  <c r="F201" s="1"/>
  <c r="E198"/>
  <c r="F198" s="1"/>
  <c r="E197"/>
  <c r="F197" s="1"/>
  <c r="E196"/>
  <c r="F196" s="1"/>
  <c r="E195"/>
  <c r="C201"/>
  <c r="C198"/>
  <c r="C197"/>
  <c r="C196"/>
  <c r="C195"/>
  <c r="G109" l="1"/>
  <c r="G110"/>
  <c r="H200"/>
  <c r="H199"/>
  <c r="H198"/>
  <c r="H204"/>
  <c r="H196"/>
  <c r="H210"/>
  <c r="H202"/>
  <c r="H197"/>
  <c r="H201"/>
  <c r="G17"/>
  <c r="G14"/>
  <c r="G13"/>
  <c r="G12"/>
  <c r="G11"/>
  <c r="G9"/>
  <c r="G10"/>
  <c r="E90"/>
  <c r="N181"/>
  <c r="N180"/>
  <c r="N179"/>
  <c r="N178"/>
  <c r="N177"/>
  <c r="N176"/>
  <c r="N167"/>
  <c r="N166"/>
  <c r="N165"/>
  <c r="N164"/>
  <c r="N163"/>
  <c r="N162"/>
  <c r="N161"/>
  <c r="N160"/>
  <c r="N159"/>
  <c r="N158"/>
  <c r="N157"/>
  <c r="N156"/>
  <c r="N155"/>
  <c r="N154"/>
  <c r="N153"/>
  <c r="N152"/>
  <c r="N151"/>
  <c r="N150"/>
  <c r="N149"/>
  <c r="N148"/>
  <c r="N147"/>
  <c r="N146"/>
  <c r="N145"/>
  <c r="N144"/>
  <c r="N143"/>
  <c r="N142"/>
  <c r="N141"/>
  <c r="N139"/>
  <c r="N138"/>
  <c r="N137"/>
  <c r="N136"/>
  <c r="N129"/>
  <c r="N103"/>
  <c r="N102"/>
  <c r="N101"/>
  <c r="N100"/>
  <c r="N99"/>
  <c r="N98"/>
  <c r="M119" l="1"/>
  <c r="M114"/>
  <c r="M110"/>
  <c r="M108"/>
  <c r="D189" l="1"/>
  <c r="D188"/>
  <c r="O188" s="1"/>
  <c r="G78"/>
  <c r="G83"/>
  <c r="G91"/>
  <c r="G90"/>
  <c r="G89"/>
  <c r="G88"/>
  <c r="G107"/>
  <c r="E83"/>
  <c r="E84"/>
  <c r="E87"/>
  <c r="G173"/>
  <c r="G172"/>
  <c r="G171"/>
  <c r="G170"/>
  <c r="G169"/>
  <c r="G168"/>
  <c r="G132"/>
  <c r="G128"/>
  <c r="G121"/>
  <c r="G120"/>
  <c r="G119"/>
  <c r="G175" s="1"/>
  <c r="G118"/>
  <c r="G117"/>
  <c r="G116"/>
  <c r="G114"/>
  <c r="G115" s="1"/>
  <c r="G113"/>
  <c r="G122" s="1"/>
  <c r="G112"/>
  <c r="G111"/>
  <c r="G108"/>
  <c r="G104"/>
  <c r="F181"/>
  <c r="F180"/>
  <c r="F179"/>
  <c r="F178"/>
  <c r="F177"/>
  <c r="F176"/>
  <c r="F175"/>
  <c r="O175" s="1"/>
  <c r="F174"/>
  <c r="F173"/>
  <c r="O173" s="1"/>
  <c r="F172"/>
  <c r="F171"/>
  <c r="O171" s="1"/>
  <c r="F170"/>
  <c r="F169"/>
  <c r="O169" s="1"/>
  <c r="F168"/>
  <c r="F167"/>
  <c r="F166"/>
  <c r="F165"/>
  <c r="F164"/>
  <c r="F163"/>
  <c r="F162"/>
  <c r="F161"/>
  <c r="F160"/>
  <c r="F159"/>
  <c r="F158"/>
  <c r="F157"/>
  <c r="F156"/>
  <c r="F155"/>
  <c r="F154"/>
  <c r="F153"/>
  <c r="F152"/>
  <c r="F151"/>
  <c r="F150"/>
  <c r="F149"/>
  <c r="F148"/>
  <c r="F147"/>
  <c r="F146"/>
  <c r="F145"/>
  <c r="F144"/>
  <c r="F143"/>
  <c r="F142"/>
  <c r="F141"/>
  <c r="F139"/>
  <c r="F138"/>
  <c r="F137"/>
  <c r="F136"/>
  <c r="F135"/>
  <c r="F134"/>
  <c r="F133"/>
  <c r="F132"/>
  <c r="F131"/>
  <c r="F130"/>
  <c r="F129"/>
  <c r="P129" s="1"/>
  <c r="F128"/>
  <c r="F127"/>
  <c r="F124"/>
  <c r="F123"/>
  <c r="F122"/>
  <c r="F97"/>
  <c r="F96"/>
  <c r="F95"/>
  <c r="F94"/>
  <c r="F93"/>
  <c r="F92"/>
  <c r="G64"/>
  <c r="G63"/>
  <c r="G62"/>
  <c r="G61"/>
  <c r="G60"/>
  <c r="G59"/>
  <c r="G58"/>
  <c r="G57"/>
  <c r="G56"/>
  <c r="G55"/>
  <c r="G54"/>
  <c r="G53"/>
  <c r="G52"/>
  <c r="G51"/>
  <c r="G50"/>
  <c r="G49"/>
  <c r="G48"/>
  <c r="G47"/>
  <c r="G46"/>
  <c r="G45"/>
  <c r="G44"/>
  <c r="G43"/>
  <c r="G42"/>
  <c r="G41"/>
  <c r="G40"/>
  <c r="G39"/>
  <c r="G38"/>
  <c r="G37"/>
  <c r="G36"/>
  <c r="G35"/>
  <c r="G34"/>
  <c r="G33"/>
  <c r="G32"/>
  <c r="F64"/>
  <c r="F63"/>
  <c r="F62"/>
  <c r="F61"/>
  <c r="F60"/>
  <c r="F59"/>
  <c r="F58"/>
  <c r="F57"/>
  <c r="F56"/>
  <c r="F55"/>
  <c r="F54"/>
  <c r="F53"/>
  <c r="F52"/>
  <c r="F51"/>
  <c r="F50"/>
  <c r="F49"/>
  <c r="F48"/>
  <c r="F47"/>
  <c r="F46"/>
  <c r="F45"/>
  <c r="F44"/>
  <c r="F42"/>
  <c r="O42" s="1"/>
  <c r="F41"/>
  <c r="F40"/>
  <c r="O40" s="1"/>
  <c r="F39"/>
  <c r="F38"/>
  <c r="O38" s="1"/>
  <c r="F37"/>
  <c r="F36"/>
  <c r="O36" s="1"/>
  <c r="F35"/>
  <c r="F34"/>
  <c r="O34" s="1"/>
  <c r="F33"/>
  <c r="P33" s="1"/>
  <c r="F32"/>
  <c r="O32" s="1"/>
  <c r="G87"/>
  <c r="G86"/>
  <c r="G85"/>
  <c r="G84"/>
  <c r="G82"/>
  <c r="G97" s="1"/>
  <c r="G81"/>
  <c r="G80"/>
  <c r="G79"/>
  <c r="G96" s="1"/>
  <c r="G77"/>
  <c r="G76"/>
  <c r="G75"/>
  <c r="G95" s="1"/>
  <c r="G74"/>
  <c r="G73"/>
  <c r="G72"/>
  <c r="G94" s="1"/>
  <c r="G71"/>
  <c r="G70"/>
  <c r="G69"/>
  <c r="G93" s="1"/>
  <c r="G68"/>
  <c r="G92" s="1"/>
  <c r="G67"/>
  <c r="G66"/>
  <c r="E121"/>
  <c r="E120"/>
  <c r="E117"/>
  <c r="E116"/>
  <c r="E119"/>
  <c r="E118"/>
  <c r="E115"/>
  <c r="E114"/>
  <c r="E113"/>
  <c r="E112"/>
  <c r="E111"/>
  <c r="E110"/>
  <c r="E109"/>
  <c r="E108"/>
  <c r="E107"/>
  <c r="E106"/>
  <c r="E105"/>
  <c r="E104"/>
  <c r="E91"/>
  <c r="E86"/>
  <c r="E78"/>
  <c r="E89"/>
  <c r="E88"/>
  <c r="E82"/>
  <c r="E85"/>
  <c r="E81"/>
  <c r="E80"/>
  <c r="E79"/>
  <c r="E77"/>
  <c r="E76"/>
  <c r="E75"/>
  <c r="E74"/>
  <c r="E73"/>
  <c r="E72"/>
  <c r="E71"/>
  <c r="E70"/>
  <c r="E69"/>
  <c r="E68"/>
  <c r="E67"/>
  <c r="E66"/>
  <c r="G189"/>
  <c r="G188"/>
  <c r="E189"/>
  <c r="E188"/>
  <c r="C189"/>
  <c r="C188"/>
  <c r="F187"/>
  <c r="G186"/>
  <c r="G185"/>
  <c r="G187" s="1"/>
  <c r="E186"/>
  <c r="E185"/>
  <c r="D187"/>
  <c r="D186"/>
  <c r="D185"/>
  <c r="C187"/>
  <c r="C186"/>
  <c r="C185"/>
  <c r="G31"/>
  <c r="G30"/>
  <c r="G29"/>
  <c r="G28"/>
  <c r="G27"/>
  <c r="G26"/>
  <c r="G25"/>
  <c r="G24"/>
  <c r="G23"/>
  <c r="G22"/>
  <c r="G21"/>
  <c r="G20"/>
  <c r="G19"/>
  <c r="G18"/>
  <c r="G16"/>
  <c r="G15"/>
  <c r="G8"/>
  <c r="G7"/>
  <c r="G6"/>
  <c r="G5"/>
  <c r="G4"/>
  <c r="G3"/>
  <c r="E28"/>
  <c r="E27"/>
  <c r="E31"/>
  <c r="E30"/>
  <c r="E29"/>
  <c r="E24"/>
  <c r="E23"/>
  <c r="E22"/>
  <c r="E21"/>
  <c r="E20"/>
  <c r="E26"/>
  <c r="E25"/>
  <c r="E19"/>
  <c r="E18"/>
  <c r="E6"/>
  <c r="E5"/>
  <c r="E17"/>
  <c r="E16"/>
  <c r="E15"/>
  <c r="E14"/>
  <c r="E13"/>
  <c r="E12"/>
  <c r="E11"/>
  <c r="E10"/>
  <c r="E9"/>
  <c r="E8"/>
  <c r="E7"/>
  <c r="E4"/>
  <c r="E3"/>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O17" s="1"/>
  <c r="D16"/>
  <c r="D15"/>
  <c r="D14"/>
  <c r="D13"/>
  <c r="D12"/>
  <c r="D11"/>
  <c r="D10"/>
  <c r="D9"/>
  <c r="D8"/>
  <c r="D7"/>
  <c r="D6"/>
  <c r="D5"/>
  <c r="D4"/>
  <c r="D3"/>
  <c r="O3" s="1"/>
  <c r="D181"/>
  <c r="D180"/>
  <c r="D179"/>
  <c r="D178"/>
  <c r="D177"/>
  <c r="D176"/>
  <c r="D175"/>
  <c r="D174"/>
  <c r="D173"/>
  <c r="D172"/>
  <c r="D171"/>
  <c r="D170"/>
  <c r="D169"/>
  <c r="D168"/>
  <c r="D167"/>
  <c r="D166"/>
  <c r="D165"/>
  <c r="D164"/>
  <c r="D163"/>
  <c r="D162"/>
  <c r="D161"/>
  <c r="D160"/>
  <c r="D159"/>
  <c r="D158"/>
  <c r="D157"/>
  <c r="D156"/>
  <c r="D155"/>
  <c r="D154"/>
  <c r="D153"/>
  <c r="D152"/>
  <c r="D151"/>
  <c r="D150"/>
  <c r="D149"/>
  <c r="D148"/>
  <c r="D147"/>
  <c r="D146"/>
  <c r="D145"/>
  <c r="D144"/>
  <c r="D143"/>
  <c r="D142"/>
  <c r="D141"/>
  <c r="D139"/>
  <c r="D138"/>
  <c r="D137"/>
  <c r="D136"/>
  <c r="D135"/>
  <c r="D134"/>
  <c r="D133"/>
  <c r="D132"/>
  <c r="D131"/>
  <c r="D130"/>
  <c r="D129"/>
  <c r="D128"/>
  <c r="D127"/>
  <c r="D126"/>
  <c r="D125"/>
  <c r="D124"/>
  <c r="D123"/>
  <c r="D122"/>
  <c r="D121"/>
  <c r="D120"/>
  <c r="D119"/>
  <c r="D118"/>
  <c r="D117"/>
  <c r="D116"/>
  <c r="D115"/>
  <c r="D114"/>
  <c r="O114" s="1"/>
  <c r="D113"/>
  <c r="D112"/>
  <c r="D111"/>
  <c r="D110"/>
  <c r="D109"/>
  <c r="D108"/>
  <c r="D107"/>
  <c r="D106"/>
  <c r="D105"/>
  <c r="D104"/>
  <c r="O104" s="1"/>
  <c r="D103"/>
  <c r="F103" s="1"/>
  <c r="D102"/>
  <c r="F102" s="1"/>
  <c r="D101"/>
  <c r="F101" s="1"/>
  <c r="D100"/>
  <c r="F100" s="1"/>
  <c r="D99"/>
  <c r="F99" s="1"/>
  <c r="D98"/>
  <c r="F98" s="1"/>
  <c r="D97"/>
  <c r="D96"/>
  <c r="D95"/>
  <c r="D94"/>
  <c r="D93"/>
  <c r="D92"/>
  <c r="D91"/>
  <c r="D90"/>
  <c r="F90" s="1"/>
  <c r="D89"/>
  <c r="F89" s="1"/>
  <c r="O89" s="1"/>
  <c r="D88"/>
  <c r="F88" s="1"/>
  <c r="O88" s="1"/>
  <c r="D87"/>
  <c r="D86"/>
  <c r="O86" s="1"/>
  <c r="D85"/>
  <c r="O85" s="1"/>
  <c r="D84"/>
  <c r="O84" s="1"/>
  <c r="D83"/>
  <c r="O83" s="1"/>
  <c r="D82"/>
  <c r="O82" s="1"/>
  <c r="D81"/>
  <c r="O81" s="1"/>
  <c r="D80"/>
  <c r="D79"/>
  <c r="O79" s="1"/>
  <c r="D78"/>
  <c r="D77"/>
  <c r="O77" s="1"/>
  <c r="D76"/>
  <c r="O76" s="1"/>
  <c r="D75"/>
  <c r="O75" s="1"/>
  <c r="D74"/>
  <c r="O74" s="1"/>
  <c r="D73"/>
  <c r="O73" s="1"/>
  <c r="D72"/>
  <c r="O72" s="1"/>
  <c r="D71"/>
  <c r="O71" s="1"/>
  <c r="D70"/>
  <c r="O70" s="1"/>
  <c r="D69"/>
  <c r="O69" s="1"/>
  <c r="D68"/>
  <c r="O68" s="1"/>
  <c r="D67"/>
  <c r="O67" s="1"/>
  <c r="D66"/>
  <c r="O66" s="1"/>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C80"/>
  <c r="C79"/>
  <c r="C78"/>
  <c r="C77"/>
  <c r="C76"/>
  <c r="C75"/>
  <c r="C74"/>
  <c r="C73"/>
  <c r="C72"/>
  <c r="C71"/>
  <c r="C70"/>
  <c r="C69"/>
  <c r="C68"/>
  <c r="C67"/>
  <c r="C66"/>
  <c r="C64"/>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c r="C6"/>
  <c r="C5"/>
  <c r="C4"/>
  <c r="C3"/>
  <c r="F83" l="1"/>
  <c r="H83" s="1"/>
  <c r="F78"/>
  <c r="H78" s="1"/>
  <c r="O78"/>
  <c r="F189"/>
  <c r="H189" s="1"/>
  <c r="O189"/>
  <c r="F80"/>
  <c r="O80"/>
  <c r="F87"/>
  <c r="O87"/>
  <c r="F66"/>
  <c r="H66" s="1"/>
  <c r="O44"/>
  <c r="F72"/>
  <c r="F76"/>
  <c r="H76" s="1"/>
  <c r="F84"/>
  <c r="F81"/>
  <c r="F185"/>
  <c r="F68"/>
  <c r="F188"/>
  <c r="H188" s="1"/>
  <c r="H97"/>
  <c r="O125"/>
  <c r="F125"/>
  <c r="H125" s="1"/>
  <c r="F79"/>
  <c r="O126"/>
  <c r="F126"/>
  <c r="H126" s="1"/>
  <c r="F70"/>
  <c r="F74"/>
  <c r="F82"/>
  <c r="F86"/>
  <c r="F67"/>
  <c r="H67" s="1"/>
  <c r="F69"/>
  <c r="F71"/>
  <c r="F73"/>
  <c r="F75"/>
  <c r="F77"/>
  <c r="F85"/>
  <c r="F91"/>
  <c r="O91" s="1"/>
  <c r="D182"/>
  <c r="F104"/>
  <c r="H104" s="1"/>
  <c r="O106"/>
  <c r="F106"/>
  <c r="H106" s="1"/>
  <c r="O108"/>
  <c r="F108"/>
  <c r="H108" s="1"/>
  <c r="O110"/>
  <c r="F110"/>
  <c r="H110" s="1"/>
  <c r="O112"/>
  <c r="F112"/>
  <c r="H112" s="1"/>
  <c r="F114"/>
  <c r="H114" s="1"/>
  <c r="O116"/>
  <c r="F116"/>
  <c r="H116" s="1"/>
  <c r="O118"/>
  <c r="F118"/>
  <c r="H118" s="1"/>
  <c r="O120"/>
  <c r="F120"/>
  <c r="H120" s="1"/>
  <c r="D65"/>
  <c r="O5"/>
  <c r="O7"/>
  <c r="O9"/>
  <c r="O11"/>
  <c r="O13"/>
  <c r="O15"/>
  <c r="F17"/>
  <c r="H17" s="1"/>
  <c r="F19"/>
  <c r="H19" s="1"/>
  <c r="O19"/>
  <c r="F21"/>
  <c r="H21" s="1"/>
  <c r="O21"/>
  <c r="F23"/>
  <c r="H23" s="1"/>
  <c r="O23"/>
  <c r="F25"/>
  <c r="H25" s="1"/>
  <c r="O25"/>
  <c r="F27"/>
  <c r="H27" s="1"/>
  <c r="O27"/>
  <c r="F29"/>
  <c r="H29" s="1"/>
  <c r="O29"/>
  <c r="O105"/>
  <c r="F105"/>
  <c r="O107"/>
  <c r="F107"/>
  <c r="H107" s="1"/>
  <c r="O109"/>
  <c r="F109"/>
  <c r="H109" s="1"/>
  <c r="O111"/>
  <c r="F111"/>
  <c r="H111" s="1"/>
  <c r="O113"/>
  <c r="F113"/>
  <c r="H113" s="1"/>
  <c r="O115"/>
  <c r="F115"/>
  <c r="H115" s="1"/>
  <c r="O117"/>
  <c r="F117"/>
  <c r="H117" s="1"/>
  <c r="O119"/>
  <c r="F119"/>
  <c r="H119" s="1"/>
  <c r="O121"/>
  <c r="F121"/>
  <c r="H121" s="1"/>
  <c r="O4"/>
  <c r="O6"/>
  <c r="O8"/>
  <c r="O10"/>
  <c r="O12"/>
  <c r="O14"/>
  <c r="O16"/>
  <c r="F18"/>
  <c r="H18" s="1"/>
  <c r="O18"/>
  <c r="F20"/>
  <c r="H20" s="1"/>
  <c r="O20"/>
  <c r="F22"/>
  <c r="O22"/>
  <c r="F24"/>
  <c r="H24" s="1"/>
  <c r="O24"/>
  <c r="O26"/>
  <c r="O28"/>
  <c r="F30"/>
  <c r="H30" s="1"/>
  <c r="O30"/>
  <c r="O185"/>
  <c r="D190"/>
  <c r="H32"/>
  <c r="H34"/>
  <c r="H36"/>
  <c r="H38"/>
  <c r="H40"/>
  <c r="H42"/>
  <c r="H45"/>
  <c r="H47"/>
  <c r="H49"/>
  <c r="H51"/>
  <c r="H53"/>
  <c r="H56"/>
  <c r="H57"/>
  <c r="H59"/>
  <c r="H61"/>
  <c r="H63"/>
  <c r="H64"/>
  <c r="O33"/>
  <c r="O35"/>
  <c r="O37"/>
  <c r="O39"/>
  <c r="O41"/>
  <c r="O43"/>
  <c r="O45"/>
  <c r="O47"/>
  <c r="O49"/>
  <c r="O51"/>
  <c r="O53"/>
  <c r="O55"/>
  <c r="O57"/>
  <c r="O59"/>
  <c r="O61"/>
  <c r="O63"/>
  <c r="O92"/>
  <c r="O94"/>
  <c r="O96"/>
  <c r="G174"/>
  <c r="H174" s="1"/>
  <c r="H144"/>
  <c r="O144"/>
  <c r="H146"/>
  <c r="O146"/>
  <c r="H148"/>
  <c r="O148"/>
  <c r="H150"/>
  <c r="O150"/>
  <c r="H152"/>
  <c r="O152"/>
  <c r="H154"/>
  <c r="O154"/>
  <c r="H156"/>
  <c r="O156"/>
  <c r="H158"/>
  <c r="O158"/>
  <c r="H160"/>
  <c r="O160"/>
  <c r="H162"/>
  <c r="O162"/>
  <c r="H164"/>
  <c r="O164"/>
  <c r="H166"/>
  <c r="O166"/>
  <c r="H168"/>
  <c r="O168"/>
  <c r="H170"/>
  <c r="O170"/>
  <c r="H172"/>
  <c r="O172"/>
  <c r="O174"/>
  <c r="H176"/>
  <c r="O176"/>
  <c r="H178"/>
  <c r="O178"/>
  <c r="H180"/>
  <c r="O180"/>
  <c r="F31"/>
  <c r="H31" s="1"/>
  <c r="O31"/>
  <c r="F186"/>
  <c r="O186"/>
  <c r="O187"/>
  <c r="H33"/>
  <c r="H35"/>
  <c r="H37"/>
  <c r="H39"/>
  <c r="H41"/>
  <c r="H43"/>
  <c r="H44"/>
  <c r="H46"/>
  <c r="H48"/>
  <c r="H50"/>
  <c r="H52"/>
  <c r="H54"/>
  <c r="H55"/>
  <c r="H58"/>
  <c r="H60"/>
  <c r="H62"/>
  <c r="O46"/>
  <c r="O48"/>
  <c r="O50"/>
  <c r="O52"/>
  <c r="O54"/>
  <c r="O56"/>
  <c r="O58"/>
  <c r="O60"/>
  <c r="O62"/>
  <c r="Q62" s="1"/>
  <c r="O64"/>
  <c r="O93"/>
  <c r="O95"/>
  <c r="O97"/>
  <c r="G123"/>
  <c r="H123" s="1"/>
  <c r="H143"/>
  <c r="O143"/>
  <c r="H145"/>
  <c r="O145"/>
  <c r="H147"/>
  <c r="O147"/>
  <c r="H149"/>
  <c r="O149"/>
  <c r="Q150"/>
  <c r="H151"/>
  <c r="O151"/>
  <c r="H153"/>
  <c r="O153"/>
  <c r="Q153" s="1"/>
  <c r="H155"/>
  <c r="O155"/>
  <c r="H157"/>
  <c r="O157"/>
  <c r="Q158"/>
  <c r="H159"/>
  <c r="O159"/>
  <c r="H161"/>
  <c r="O161"/>
  <c r="H163"/>
  <c r="O163"/>
  <c r="H165"/>
  <c r="O165"/>
  <c r="Q166"/>
  <c r="H167"/>
  <c r="O167"/>
  <c r="H169"/>
  <c r="H171"/>
  <c r="H173"/>
  <c r="H175"/>
  <c r="H177"/>
  <c r="O177"/>
  <c r="H179"/>
  <c r="O179"/>
  <c r="H181"/>
  <c r="O181"/>
  <c r="O90"/>
  <c r="Q46"/>
  <c r="F26"/>
  <c r="H26" s="1"/>
  <c r="F28"/>
  <c r="H28" s="1"/>
  <c r="H187"/>
  <c r="H22"/>
  <c r="F3"/>
  <c r="H3" s="1"/>
  <c r="C58" i="5"/>
  <c r="E216" i="6" s="1"/>
  <c r="E217" s="1"/>
  <c r="E50" i="5"/>
  <c r="E49"/>
  <c r="D51"/>
  <c r="B58"/>
  <c r="D216" i="6" s="1"/>
  <c r="D217" s="1"/>
  <c r="F209"/>
  <c r="H209" s="1"/>
  <c r="F208"/>
  <c r="H208" s="1"/>
  <c r="F207"/>
  <c r="H207" s="1"/>
  <c r="F206"/>
  <c r="H206" s="1"/>
  <c r="F195"/>
  <c r="H195" s="1"/>
  <c r="O142"/>
  <c r="H142"/>
  <c r="O141"/>
  <c r="H141"/>
  <c r="O139"/>
  <c r="H139"/>
  <c r="O138"/>
  <c r="H138"/>
  <c r="O137"/>
  <c r="H137"/>
  <c r="O136"/>
  <c r="H136"/>
  <c r="O135"/>
  <c r="H135"/>
  <c r="O134"/>
  <c r="H134"/>
  <c r="O133"/>
  <c r="H133"/>
  <c r="O132"/>
  <c r="H132"/>
  <c r="H131"/>
  <c r="O130"/>
  <c r="H130"/>
  <c r="O129"/>
  <c r="H129"/>
  <c r="O128"/>
  <c r="H128"/>
  <c r="O127"/>
  <c r="H127"/>
  <c r="O124"/>
  <c r="H124"/>
  <c r="O123"/>
  <c r="O122"/>
  <c r="H122"/>
  <c r="H105"/>
  <c r="O103"/>
  <c r="O100"/>
  <c r="H100"/>
  <c r="O99"/>
  <c r="H99"/>
  <c r="O98"/>
  <c r="H98"/>
  <c r="H96"/>
  <c r="H95"/>
  <c r="H94"/>
  <c r="H93"/>
  <c r="H92"/>
  <c r="F16"/>
  <c r="F15"/>
  <c r="F14"/>
  <c r="F13"/>
  <c r="H13" s="1"/>
  <c r="F12"/>
  <c r="H12" s="1"/>
  <c r="F11"/>
  <c r="H11" s="1"/>
  <c r="F10"/>
  <c r="H10" s="1"/>
  <c r="F9"/>
  <c r="H9" s="1"/>
  <c r="F8"/>
  <c r="H8" s="1"/>
  <c r="F7"/>
  <c r="H7" s="1"/>
  <c r="F6"/>
  <c r="H6" s="1"/>
  <c r="F5"/>
  <c r="H5" s="1"/>
  <c r="F4"/>
  <c r="G52" i="5"/>
  <c r="G54" s="1"/>
  <c r="B51"/>
  <c r="G50"/>
  <c r="C50"/>
  <c r="G49"/>
  <c r="C49"/>
  <c r="G9"/>
  <c r="E9"/>
  <c r="C9"/>
  <c r="B9"/>
  <c r="H9" s="1"/>
  <c r="B8"/>
  <c r="F8" s="1"/>
  <c r="G7"/>
  <c r="E7"/>
  <c r="C7"/>
  <c r="B7"/>
  <c r="H7" s="1"/>
  <c r="B6"/>
  <c r="H6" s="1"/>
  <c r="G5"/>
  <c r="E5"/>
  <c r="C5"/>
  <c r="B5"/>
  <c r="H5" s="1"/>
  <c r="B4"/>
  <c r="H4" s="1"/>
  <c r="G3"/>
  <c r="E3"/>
  <c r="C3"/>
  <c r="B3"/>
  <c r="H3" s="1"/>
  <c r="D183" i="6" l="1"/>
  <c r="Q160"/>
  <c r="B56" i="5"/>
  <c r="B57" s="1"/>
  <c r="B59" s="1"/>
  <c r="B52"/>
  <c r="D56"/>
  <c r="D59" s="1"/>
  <c r="D110" i="3"/>
  <c r="E110" s="1"/>
  <c r="C56" i="5"/>
  <c r="C57" s="1"/>
  <c r="C59" s="1"/>
  <c r="D52"/>
  <c r="D111" i="3"/>
  <c r="E111" s="1"/>
  <c r="Q162" i="6"/>
  <c r="Q154"/>
  <c r="Q146"/>
  <c r="Q47"/>
  <c r="Q181"/>
  <c r="Q61"/>
  <c r="Q50"/>
  <c r="H91"/>
  <c r="Q164"/>
  <c r="Q156"/>
  <c r="O65"/>
  <c r="H77"/>
  <c r="Q58"/>
  <c r="Q48"/>
  <c r="Q165"/>
  <c r="Q157"/>
  <c r="Q149"/>
  <c r="Q59"/>
  <c r="F190"/>
  <c r="E218" s="1"/>
  <c r="Q177"/>
  <c r="Q60"/>
  <c r="Q52"/>
  <c r="Q51"/>
  <c r="Q145"/>
  <c r="H186"/>
  <c r="Q178"/>
  <c r="Q45"/>
  <c r="Q49"/>
  <c r="Q167"/>
  <c r="Q53"/>
  <c r="E51" i="5"/>
  <c r="C51"/>
  <c r="E107" i="3" s="1"/>
  <c r="F182" i="6"/>
  <c r="Q161"/>
  <c r="Q63"/>
  <c r="Q159"/>
  <c r="O190"/>
  <c r="Q179"/>
  <c r="Q163"/>
  <c r="Q155"/>
  <c r="Q151"/>
  <c r="Q147"/>
  <c r="Q143"/>
  <c r="Q64"/>
  <c r="Q33"/>
  <c r="Q180"/>
  <c r="Q176"/>
  <c r="Q152"/>
  <c r="Q148"/>
  <c r="Q144"/>
  <c r="H185"/>
  <c r="F65"/>
  <c r="Q54"/>
  <c r="Q56"/>
  <c r="H69"/>
  <c r="H70"/>
  <c r="H71"/>
  <c r="H72"/>
  <c r="H73"/>
  <c r="H74"/>
  <c r="H75"/>
  <c r="H14"/>
  <c r="H15"/>
  <c r="H16"/>
  <c r="H68"/>
  <c r="H4"/>
  <c r="H79"/>
  <c r="Q98"/>
  <c r="Q100"/>
  <c r="Q99"/>
  <c r="H80"/>
  <c r="H82"/>
  <c r="H85"/>
  <c r="H87"/>
  <c r="H89"/>
  <c r="O101"/>
  <c r="O102"/>
  <c r="H102"/>
  <c r="H81"/>
  <c r="H84"/>
  <c r="H86"/>
  <c r="H88"/>
  <c r="H90"/>
  <c r="H101"/>
  <c r="H103"/>
  <c r="Q129"/>
  <c r="Q136"/>
  <c r="Q137"/>
  <c r="Q138"/>
  <c r="Q139"/>
  <c r="Q142"/>
  <c r="Q141"/>
  <c r="F4" i="5"/>
  <c r="D6"/>
  <c r="F6"/>
  <c r="D8"/>
  <c r="H8"/>
  <c r="D3"/>
  <c r="F3"/>
  <c r="C4"/>
  <c r="E4"/>
  <c r="G4"/>
  <c r="D5"/>
  <c r="F5"/>
  <c r="C6"/>
  <c r="E6"/>
  <c r="G6"/>
  <c r="D7"/>
  <c r="F7"/>
  <c r="C8"/>
  <c r="E8"/>
  <c r="G8"/>
  <c r="D9"/>
  <c r="F9"/>
  <c r="D4"/>
  <c r="D218" i="6" l="1"/>
  <c r="H190"/>
  <c r="E219" s="1"/>
  <c r="I187" s="1"/>
  <c r="J187" s="1"/>
  <c r="K187" s="1"/>
  <c r="L187" s="1"/>
  <c r="D60" i="3" s="1"/>
  <c r="E60" s="1"/>
  <c r="F183" i="6"/>
  <c r="H65"/>
  <c r="O182"/>
  <c r="O183" s="1"/>
  <c r="H182"/>
  <c r="Q103"/>
  <c r="Q102"/>
  <c r="Q101"/>
  <c r="I186" l="1"/>
  <c r="J186" s="1"/>
  <c r="K186" s="1"/>
  <c r="L186" s="1"/>
  <c r="D57" i="3" s="1"/>
  <c r="D62" s="1"/>
  <c r="E62" s="1"/>
  <c r="I198" i="6"/>
  <c r="J198" s="1"/>
  <c r="K198" s="1"/>
  <c r="L198" s="1"/>
  <c r="D71" i="3" s="1"/>
  <c r="E71" s="1"/>
  <c r="I196" i="6"/>
  <c r="J196" s="1"/>
  <c r="K196" s="1"/>
  <c r="L196" s="1"/>
  <c r="D67" i="3" s="1"/>
  <c r="E67" s="1"/>
  <c r="I185" i="6"/>
  <c r="J185" s="1"/>
  <c r="I197"/>
  <c r="J197" s="1"/>
  <c r="K197" s="1"/>
  <c r="L197" s="1"/>
  <c r="D69" i="3" s="1"/>
  <c r="E69" s="1"/>
  <c r="I199" i="6"/>
  <c r="J199" s="1"/>
  <c r="K199" s="1"/>
  <c r="L199" s="1"/>
  <c r="D73" i="3" s="1"/>
  <c r="E73" s="1"/>
  <c r="I189" i="6"/>
  <c r="J189" s="1"/>
  <c r="K189" s="1"/>
  <c r="I195"/>
  <c r="J195" s="1"/>
  <c r="K195" s="1"/>
  <c r="I188"/>
  <c r="J188" s="1"/>
  <c r="K188" s="1"/>
  <c r="L188" s="1"/>
  <c r="N188" s="1"/>
  <c r="I201"/>
  <c r="J201" s="1"/>
  <c r="K201" s="1"/>
  <c r="L201" s="1"/>
  <c r="D77" i="3" s="1"/>
  <c r="E77" s="1"/>
  <c r="I200" i="6"/>
  <c r="J200" s="1"/>
  <c r="K200" s="1"/>
  <c r="L200" s="1"/>
  <c r="D75" i="3" s="1"/>
  <c r="E75" s="1"/>
  <c r="L195" i="6"/>
  <c r="D65" i="3" s="1"/>
  <c r="H183" i="6"/>
  <c r="D219" s="1"/>
  <c r="I117" s="1"/>
  <c r="N187"/>
  <c r="P187" s="1"/>
  <c r="N186" l="1"/>
  <c r="P186" s="1"/>
  <c r="N197"/>
  <c r="P197" s="1"/>
  <c r="E57" i="3"/>
  <c r="N199" i="6"/>
  <c r="P199" s="1"/>
  <c r="N198"/>
  <c r="P198" s="1"/>
  <c r="N200"/>
  <c r="P200" s="1"/>
  <c r="N196"/>
  <c r="P196" s="1"/>
  <c r="D81" i="3"/>
  <c r="E81" s="1"/>
  <c r="E65"/>
  <c r="N201" i="6"/>
  <c r="P201" s="1"/>
  <c r="L189"/>
  <c r="N189" s="1"/>
  <c r="I105"/>
  <c r="J105" s="1"/>
  <c r="K105" s="1"/>
  <c r="L105" s="1"/>
  <c r="I11"/>
  <c r="J11" s="1"/>
  <c r="K11" s="1"/>
  <c r="I29"/>
  <c r="I35"/>
  <c r="J35" s="1"/>
  <c r="K35" s="1"/>
  <c r="L35" s="1"/>
  <c r="N35" s="1"/>
  <c r="P35" s="1"/>
  <c r="N195"/>
  <c r="P195" s="1"/>
  <c r="I170"/>
  <c r="J170" s="1"/>
  <c r="K170" s="1"/>
  <c r="I66"/>
  <c r="J66" s="1"/>
  <c r="I91"/>
  <c r="J91" s="1"/>
  <c r="K91" s="1"/>
  <c r="I125"/>
  <c r="J125" s="1"/>
  <c r="K125" s="1"/>
  <c r="L125" s="1"/>
  <c r="I24"/>
  <c r="J24" s="1"/>
  <c r="K24" s="1"/>
  <c r="L24" s="1"/>
  <c r="I74"/>
  <c r="I142"/>
  <c r="J142" s="1"/>
  <c r="K142" s="1"/>
  <c r="I67"/>
  <c r="I89"/>
  <c r="J89" s="1"/>
  <c r="K89" s="1"/>
  <c r="I134"/>
  <c r="I43"/>
  <c r="J43" s="1"/>
  <c r="K43" s="1"/>
  <c r="N43" s="1"/>
  <c r="I153"/>
  <c r="J153" s="1"/>
  <c r="K153" s="1"/>
  <c r="I4"/>
  <c r="J4" s="1"/>
  <c r="K4" s="1"/>
  <c r="L4" s="1"/>
  <c r="I59"/>
  <c r="J59" s="1"/>
  <c r="K59" s="1"/>
  <c r="N59" s="1"/>
  <c r="I17"/>
  <c r="J17" s="1"/>
  <c r="K17" s="1"/>
  <c r="I102"/>
  <c r="J102" s="1"/>
  <c r="K102" s="1"/>
  <c r="I51"/>
  <c r="J51" s="1"/>
  <c r="K51" s="1"/>
  <c r="N51" s="1"/>
  <c r="I158"/>
  <c r="J158" s="1"/>
  <c r="K158" s="1"/>
  <c r="I161"/>
  <c r="J161" s="1"/>
  <c r="K161" s="1"/>
  <c r="I177"/>
  <c r="J177" s="1"/>
  <c r="K177" s="1"/>
  <c r="I6"/>
  <c r="I78"/>
  <c r="J78" s="1"/>
  <c r="K78" s="1"/>
  <c r="I8"/>
  <c r="J8" s="1"/>
  <c r="K8" s="1"/>
  <c r="L8" s="1"/>
  <c r="I14"/>
  <c r="J14" s="1"/>
  <c r="K14" s="1"/>
  <c r="L14" s="1"/>
  <c r="I71"/>
  <c r="I84"/>
  <c r="J84" s="1"/>
  <c r="K84" s="1"/>
  <c r="I95"/>
  <c r="J95" s="1"/>
  <c r="K95" s="1"/>
  <c r="I82"/>
  <c r="J82" s="1"/>
  <c r="K82" s="1"/>
  <c r="L82" s="1"/>
  <c r="D124" i="3" s="1"/>
  <c r="I104" i="6"/>
  <c r="I121"/>
  <c r="J121" s="1"/>
  <c r="K121" s="1"/>
  <c r="I113"/>
  <c r="I130"/>
  <c r="J130" s="1"/>
  <c r="K130" s="1"/>
  <c r="I138"/>
  <c r="J138" s="1"/>
  <c r="K138" s="1"/>
  <c r="I209"/>
  <c r="J209" s="1"/>
  <c r="K209" s="1"/>
  <c r="L209" s="1"/>
  <c r="D33" i="3" s="1"/>
  <c r="I21" i="6"/>
  <c r="J21" s="1"/>
  <c r="K21" s="1"/>
  <c r="L21" s="1"/>
  <c r="N21" s="1"/>
  <c r="I39"/>
  <c r="J39" s="1"/>
  <c r="K39" s="1"/>
  <c r="L39" s="1"/>
  <c r="D50" i="3" s="1"/>
  <c r="I47" i="6"/>
  <c r="J47" s="1"/>
  <c r="K47" s="1"/>
  <c r="N47" s="1"/>
  <c r="I55"/>
  <c r="J55" s="1"/>
  <c r="K55" s="1"/>
  <c r="L55" s="1"/>
  <c r="D53" i="3" s="1"/>
  <c r="I63" i="6"/>
  <c r="J63" s="1"/>
  <c r="K63" s="1"/>
  <c r="N63" s="1"/>
  <c r="I145"/>
  <c r="J145" s="1"/>
  <c r="K145" s="1"/>
  <c r="I150"/>
  <c r="J150" s="1"/>
  <c r="K150" s="1"/>
  <c r="I166"/>
  <c r="J166" s="1"/>
  <c r="K166" s="1"/>
  <c r="I169"/>
  <c r="J169" s="1"/>
  <c r="K169" s="1"/>
  <c r="L169" s="1"/>
  <c r="I180"/>
  <c r="J180" s="1"/>
  <c r="K180" s="1"/>
  <c r="I176"/>
  <c r="J176" s="1"/>
  <c r="K176" s="1"/>
  <c r="I172"/>
  <c r="I168"/>
  <c r="J168" s="1"/>
  <c r="K168" s="1"/>
  <c r="I179"/>
  <c r="J179" s="1"/>
  <c r="K179" s="1"/>
  <c r="I175"/>
  <c r="I171"/>
  <c r="J171" s="1"/>
  <c r="K171" s="1"/>
  <c r="I167"/>
  <c r="J167" s="1"/>
  <c r="K167" s="1"/>
  <c r="I163"/>
  <c r="J163" s="1"/>
  <c r="K163" s="1"/>
  <c r="I159"/>
  <c r="J159" s="1"/>
  <c r="K159" s="1"/>
  <c r="I155"/>
  <c r="J155" s="1"/>
  <c r="K155" s="1"/>
  <c r="I164"/>
  <c r="J164" s="1"/>
  <c r="K164" s="1"/>
  <c r="I160"/>
  <c r="J160" s="1"/>
  <c r="K160" s="1"/>
  <c r="I156"/>
  <c r="J156" s="1"/>
  <c r="K156" s="1"/>
  <c r="I152"/>
  <c r="J152" s="1"/>
  <c r="K152" s="1"/>
  <c r="I148"/>
  <c r="J148" s="1"/>
  <c r="K148" s="1"/>
  <c r="I144"/>
  <c r="J144" s="1"/>
  <c r="K144" s="1"/>
  <c r="I151"/>
  <c r="J151" s="1"/>
  <c r="K151" s="1"/>
  <c r="I147"/>
  <c r="J147" s="1"/>
  <c r="K147" s="1"/>
  <c r="I143"/>
  <c r="J143" s="1"/>
  <c r="K143" s="1"/>
  <c r="I64"/>
  <c r="J64" s="1"/>
  <c r="K64" s="1"/>
  <c r="N64" s="1"/>
  <c r="I62"/>
  <c r="J62" s="1"/>
  <c r="K62" s="1"/>
  <c r="N62" s="1"/>
  <c r="I60"/>
  <c r="J60" s="1"/>
  <c r="K60" s="1"/>
  <c r="N60" s="1"/>
  <c r="I58"/>
  <c r="J58" s="1"/>
  <c r="K58" s="1"/>
  <c r="N58" s="1"/>
  <c r="I56"/>
  <c r="J56" s="1"/>
  <c r="K56" s="1"/>
  <c r="N56" s="1"/>
  <c r="I54"/>
  <c r="J54" s="1"/>
  <c r="K54" s="1"/>
  <c r="N54" s="1"/>
  <c r="I52"/>
  <c r="J52" s="1"/>
  <c r="K52" s="1"/>
  <c r="N52" s="1"/>
  <c r="I50"/>
  <c r="J50" s="1"/>
  <c r="K50" s="1"/>
  <c r="N50" s="1"/>
  <c r="I48"/>
  <c r="J48" s="1"/>
  <c r="K48" s="1"/>
  <c r="N48" s="1"/>
  <c r="I46"/>
  <c r="J46" s="1"/>
  <c r="K46" s="1"/>
  <c r="N46" s="1"/>
  <c r="I44"/>
  <c r="J44" s="1"/>
  <c r="K44" s="1"/>
  <c r="N44" s="1"/>
  <c r="I42"/>
  <c r="J42" s="1"/>
  <c r="K42" s="1"/>
  <c r="I40"/>
  <c r="J40" s="1"/>
  <c r="K40" s="1"/>
  <c r="L40" s="1"/>
  <c r="D51" i="3" s="1"/>
  <c r="I38" i="6"/>
  <c r="J38" s="1"/>
  <c r="K38" s="1"/>
  <c r="I36"/>
  <c r="J36" s="1"/>
  <c r="K36" s="1"/>
  <c r="L36" s="1"/>
  <c r="D9" i="3" s="1"/>
  <c r="I34" i="6"/>
  <c r="J34" s="1"/>
  <c r="K34" s="1"/>
  <c r="L34" s="1"/>
  <c r="D49" i="3" s="1"/>
  <c r="I32" i="6"/>
  <c r="J32" s="1"/>
  <c r="K32" s="1"/>
  <c r="I97"/>
  <c r="J97" s="1"/>
  <c r="K97" s="1"/>
  <c r="I30"/>
  <c r="J30" s="1"/>
  <c r="K30" s="1"/>
  <c r="L30" s="1"/>
  <c r="I26"/>
  <c r="J26" s="1"/>
  <c r="K26" s="1"/>
  <c r="L26" s="1"/>
  <c r="I22"/>
  <c r="I18"/>
  <c r="J18" s="1"/>
  <c r="K18" s="1"/>
  <c r="L18" s="1"/>
  <c r="D39" i="3" s="1"/>
  <c r="I27" i="6"/>
  <c r="J27" s="1"/>
  <c r="K27" s="1"/>
  <c r="L27" s="1"/>
  <c r="D41" i="3" s="1"/>
  <c r="I23" i="6"/>
  <c r="J23" s="1"/>
  <c r="K23" s="1"/>
  <c r="L23" s="1"/>
  <c r="I19"/>
  <c r="J19" s="1"/>
  <c r="K19" s="1"/>
  <c r="L19" s="1"/>
  <c r="I208"/>
  <c r="J208" s="1"/>
  <c r="K208" s="1"/>
  <c r="I206"/>
  <c r="J206" s="1"/>
  <c r="K206" s="1"/>
  <c r="I141"/>
  <c r="J141" s="1"/>
  <c r="K141" s="1"/>
  <c r="I139"/>
  <c r="J139" s="1"/>
  <c r="K139" s="1"/>
  <c r="I137"/>
  <c r="J137" s="1"/>
  <c r="K137" s="1"/>
  <c r="I135"/>
  <c r="J135" s="1"/>
  <c r="K135" s="1"/>
  <c r="I133"/>
  <c r="J133" s="1"/>
  <c r="K133" s="1"/>
  <c r="I131"/>
  <c r="J131" s="1"/>
  <c r="K131" s="1"/>
  <c r="I129"/>
  <c r="J129" s="1"/>
  <c r="K129" s="1"/>
  <c r="I127"/>
  <c r="J127" s="1"/>
  <c r="K127" s="1"/>
  <c r="I116"/>
  <c r="J116" s="1"/>
  <c r="K116" s="1"/>
  <c r="I114"/>
  <c r="J114" s="1"/>
  <c r="K114" s="1"/>
  <c r="I112"/>
  <c r="J112" s="1"/>
  <c r="K112" s="1"/>
  <c r="I126"/>
  <c r="J126" s="1"/>
  <c r="K126" s="1"/>
  <c r="L126" s="1"/>
  <c r="I124"/>
  <c r="J124" s="1"/>
  <c r="K124" s="1"/>
  <c r="I122"/>
  <c r="J122" s="1"/>
  <c r="K122" s="1"/>
  <c r="I120"/>
  <c r="J120" s="1"/>
  <c r="K120" s="1"/>
  <c r="I118"/>
  <c r="J118" s="1"/>
  <c r="K118" s="1"/>
  <c r="L118" s="1"/>
  <c r="I110"/>
  <c r="J110" s="1"/>
  <c r="K110" s="1"/>
  <c r="I106"/>
  <c r="J106" s="1"/>
  <c r="K106" s="1"/>
  <c r="I100"/>
  <c r="J100" s="1"/>
  <c r="K100" s="1"/>
  <c r="I98"/>
  <c r="J98" s="1"/>
  <c r="K98" s="1"/>
  <c r="I87"/>
  <c r="J87" s="1"/>
  <c r="K87" s="1"/>
  <c r="I83"/>
  <c r="J83" s="1"/>
  <c r="K83" s="1"/>
  <c r="I80"/>
  <c r="J80" s="1"/>
  <c r="K80" s="1"/>
  <c r="I107"/>
  <c r="I103"/>
  <c r="J103" s="1"/>
  <c r="K103" s="1"/>
  <c r="I96"/>
  <c r="J96" s="1"/>
  <c r="K96" s="1"/>
  <c r="I94"/>
  <c r="J94" s="1"/>
  <c r="K94" s="1"/>
  <c r="I92"/>
  <c r="J92" s="1"/>
  <c r="K92" s="1"/>
  <c r="I90"/>
  <c r="J90" s="1"/>
  <c r="K90" s="1"/>
  <c r="I86"/>
  <c r="J86" s="1"/>
  <c r="K86" s="1"/>
  <c r="I81"/>
  <c r="I75"/>
  <c r="J75" s="1"/>
  <c r="K75" s="1"/>
  <c r="L75" s="1"/>
  <c r="D120" i="3" s="1"/>
  <c r="I73" i="6"/>
  <c r="J73" s="1"/>
  <c r="K73" s="1"/>
  <c r="I77"/>
  <c r="J77" s="1"/>
  <c r="K77" s="1"/>
  <c r="I70"/>
  <c r="J70" s="1"/>
  <c r="K70" s="1"/>
  <c r="I68"/>
  <c r="J68" s="1"/>
  <c r="K68" s="1"/>
  <c r="K66"/>
  <c r="I15"/>
  <c r="J15" s="1"/>
  <c r="K15" s="1"/>
  <c r="L15" s="1"/>
  <c r="I13"/>
  <c r="J13" s="1"/>
  <c r="K13" s="1"/>
  <c r="I5"/>
  <c r="J5" s="1"/>
  <c r="K5" s="1"/>
  <c r="I9"/>
  <c r="J9" s="1"/>
  <c r="K9" s="1"/>
  <c r="I76"/>
  <c r="J76" s="1"/>
  <c r="K76" s="1"/>
  <c r="I3"/>
  <c r="J3" s="1"/>
  <c r="I7"/>
  <c r="J7" s="1"/>
  <c r="K7" s="1"/>
  <c r="L7" s="1"/>
  <c r="D14" i="3" s="1"/>
  <c r="I10" i="6"/>
  <c r="J10" s="1"/>
  <c r="K10" s="1"/>
  <c r="L10" s="1"/>
  <c r="I12"/>
  <c r="I16"/>
  <c r="I69"/>
  <c r="J69" s="1"/>
  <c r="K69" s="1"/>
  <c r="L69" s="1"/>
  <c r="D116" i="3" s="1"/>
  <c r="I72" i="6"/>
  <c r="J72" s="1"/>
  <c r="K72" s="1"/>
  <c r="L72" s="1"/>
  <c r="D118" i="3" s="1"/>
  <c r="I79" i="6"/>
  <c r="J79" s="1"/>
  <c r="K79" s="1"/>
  <c r="L79" s="1"/>
  <c r="D122" i="3" s="1"/>
  <c r="I88" i="6"/>
  <c r="J88" s="1"/>
  <c r="K88" s="1"/>
  <c r="I93"/>
  <c r="J93" s="1"/>
  <c r="K93" s="1"/>
  <c r="I101"/>
  <c r="J101" s="1"/>
  <c r="K101" s="1"/>
  <c r="I109"/>
  <c r="J109" s="1"/>
  <c r="K109" s="1"/>
  <c r="I85"/>
  <c r="J85" s="1"/>
  <c r="K85" s="1"/>
  <c r="I99"/>
  <c r="J99" s="1"/>
  <c r="K99" s="1"/>
  <c r="I108"/>
  <c r="J108" s="1"/>
  <c r="K108" s="1"/>
  <c r="I119"/>
  <c r="J119" s="1"/>
  <c r="K119" s="1"/>
  <c r="I123"/>
  <c r="J123" s="1"/>
  <c r="K123" s="1"/>
  <c r="I111"/>
  <c r="J111" s="1"/>
  <c r="K111" s="1"/>
  <c r="I115"/>
  <c r="J115" s="1"/>
  <c r="K115" s="1"/>
  <c r="I128"/>
  <c r="J128" s="1"/>
  <c r="K128" s="1"/>
  <c r="L128" s="1"/>
  <c r="D99" i="3" s="1"/>
  <c r="I132" i="6"/>
  <c r="J132" s="1"/>
  <c r="K132" s="1"/>
  <c r="I136"/>
  <c r="J136" s="1"/>
  <c r="K136" s="1"/>
  <c r="I207"/>
  <c r="J207" s="1"/>
  <c r="K207" s="1"/>
  <c r="L207" s="1"/>
  <c r="D31" i="3" s="1"/>
  <c r="I20" i="6"/>
  <c r="J20" s="1"/>
  <c r="K20" s="1"/>
  <c r="L20" s="1"/>
  <c r="D35" i="3" s="1"/>
  <c r="I28" i="6"/>
  <c r="I25"/>
  <c r="J25" s="1"/>
  <c r="K25" s="1"/>
  <c r="L25" s="1"/>
  <c r="D45" i="3" s="1"/>
  <c r="I31" i="6"/>
  <c r="J31" s="1"/>
  <c r="K31" s="1"/>
  <c r="L31" s="1"/>
  <c r="I33"/>
  <c r="J33" s="1"/>
  <c r="K33" s="1"/>
  <c r="N33" s="1"/>
  <c r="I37"/>
  <c r="J37" s="1"/>
  <c r="K37" s="1"/>
  <c r="I41"/>
  <c r="J41" s="1"/>
  <c r="K41" s="1"/>
  <c r="I45"/>
  <c r="J45" s="1"/>
  <c r="K45" s="1"/>
  <c r="N45" s="1"/>
  <c r="I49"/>
  <c r="J49" s="1"/>
  <c r="K49" s="1"/>
  <c r="N49" s="1"/>
  <c r="I53"/>
  <c r="J53" s="1"/>
  <c r="K53" s="1"/>
  <c r="N53" s="1"/>
  <c r="I57"/>
  <c r="J57" s="1"/>
  <c r="K57" s="1"/>
  <c r="L57" s="1"/>
  <c r="D52" i="3" s="1"/>
  <c r="I61" i="6"/>
  <c r="J61" s="1"/>
  <c r="K61" s="1"/>
  <c r="N61" s="1"/>
  <c r="I149"/>
  <c r="J149" s="1"/>
  <c r="K149" s="1"/>
  <c r="I146"/>
  <c r="J146" s="1"/>
  <c r="K146" s="1"/>
  <c r="I154"/>
  <c r="J154" s="1"/>
  <c r="K154" s="1"/>
  <c r="I162"/>
  <c r="J162" s="1"/>
  <c r="K162" s="1"/>
  <c r="I157"/>
  <c r="J157" s="1"/>
  <c r="K157" s="1"/>
  <c r="I165"/>
  <c r="J165" s="1"/>
  <c r="K165" s="1"/>
  <c r="I173"/>
  <c r="J173" s="1"/>
  <c r="K173" s="1"/>
  <c r="I181"/>
  <c r="J181" s="1"/>
  <c r="K181" s="1"/>
  <c r="I174"/>
  <c r="J174" s="1"/>
  <c r="K174" s="1"/>
  <c r="I178"/>
  <c r="J178" s="1"/>
  <c r="K178" s="1"/>
  <c r="I210"/>
  <c r="J210" s="1"/>
  <c r="K210" s="1"/>
  <c r="I204"/>
  <c r="J204" s="1"/>
  <c r="K204" s="1"/>
  <c r="L204" s="1"/>
  <c r="D24" i="3" s="1"/>
  <c r="I205" i="6"/>
  <c r="J205" s="1"/>
  <c r="K205" s="1"/>
  <c r="I203"/>
  <c r="J203" s="1"/>
  <c r="K203" s="1"/>
  <c r="I202"/>
  <c r="J202" s="1"/>
  <c r="K202" s="1"/>
  <c r="L202" s="1"/>
  <c r="D22" i="3" s="1"/>
  <c r="J67" i="6"/>
  <c r="K67" s="1"/>
  <c r="J71"/>
  <c r="K71" s="1"/>
  <c r="J74"/>
  <c r="K74" s="1"/>
  <c r="J104"/>
  <c r="K104" s="1"/>
  <c r="J113"/>
  <c r="K113" s="1"/>
  <c r="J117"/>
  <c r="K117" s="1"/>
  <c r="J134"/>
  <c r="K134" s="1"/>
  <c r="J175"/>
  <c r="K175" s="1"/>
  <c r="J172"/>
  <c r="K172" s="1"/>
  <c r="J81"/>
  <c r="K81" s="1"/>
  <c r="J107"/>
  <c r="K107" s="1"/>
  <c r="J190"/>
  <c r="K185"/>
  <c r="L185" s="1"/>
  <c r="D56" i="3" s="1"/>
  <c r="J6" i="6"/>
  <c r="K6" s="1"/>
  <c r="L6" s="1"/>
  <c r="J28"/>
  <c r="K28" s="1"/>
  <c r="L28" s="1"/>
  <c r="J29"/>
  <c r="K29" s="1"/>
  <c r="L29" s="1"/>
  <c r="D43" i="3" s="1"/>
  <c r="J16" i="6"/>
  <c r="K16" s="1"/>
  <c r="L16" s="1"/>
  <c r="D29" i="3" s="1"/>
  <c r="J22" i="6"/>
  <c r="K22" s="1"/>
  <c r="L22" s="1"/>
  <c r="D37" i="3" s="1"/>
  <c r="I190" i="6"/>
  <c r="N205" l="1"/>
  <c r="P205" s="1"/>
  <c r="L205"/>
  <c r="L119"/>
  <c r="N119" s="1"/>
  <c r="P119" s="1"/>
  <c r="N109"/>
  <c r="P109" s="1"/>
  <c r="L109"/>
  <c r="L76"/>
  <c r="N76" s="1"/>
  <c r="N77"/>
  <c r="L77"/>
  <c r="L86"/>
  <c r="N86" s="1"/>
  <c r="N96"/>
  <c r="P96" s="1"/>
  <c r="L96"/>
  <c r="L83"/>
  <c r="N83" s="1"/>
  <c r="N106"/>
  <c r="P106" s="1"/>
  <c r="L106"/>
  <c r="L122"/>
  <c r="N122" s="1"/>
  <c r="P122" s="1"/>
  <c r="N114"/>
  <c r="P114" s="1"/>
  <c r="L114"/>
  <c r="L32"/>
  <c r="N32" s="1"/>
  <c r="P32" s="1"/>
  <c r="N130"/>
  <c r="P130" s="1"/>
  <c r="L130"/>
  <c r="D144" i="3"/>
  <c r="D147"/>
  <c r="N81" i="6"/>
  <c r="L81"/>
  <c r="L174"/>
  <c r="N174" s="1"/>
  <c r="P174" s="1"/>
  <c r="N107"/>
  <c r="P107" s="1"/>
  <c r="L107"/>
  <c r="L134"/>
  <c r="N134" s="1"/>
  <c r="P134" s="1"/>
  <c r="N74"/>
  <c r="L74"/>
  <c r="L203"/>
  <c r="N203" s="1"/>
  <c r="P203" s="1"/>
  <c r="N37"/>
  <c r="P37" s="1"/>
  <c r="L37"/>
  <c r="L132"/>
  <c r="N132" s="1"/>
  <c r="P132" s="1"/>
  <c r="N123"/>
  <c r="P123" s="1"/>
  <c r="L123"/>
  <c r="L85"/>
  <c r="N85" s="1"/>
  <c r="N88"/>
  <c r="P88" s="1"/>
  <c r="L88"/>
  <c r="L13"/>
  <c r="D20" i="3" s="1"/>
  <c r="E20" s="1"/>
  <c r="N70" i="6"/>
  <c r="L70"/>
  <c r="L94"/>
  <c r="N94" s="1"/>
  <c r="P94" s="1"/>
  <c r="N80"/>
  <c r="L80"/>
  <c r="L120"/>
  <c r="N120" s="1"/>
  <c r="P120" s="1"/>
  <c r="N112"/>
  <c r="P112" s="1"/>
  <c r="L112"/>
  <c r="L208"/>
  <c r="N208" s="1"/>
  <c r="P208" s="1"/>
  <c r="N97"/>
  <c r="P97" s="1"/>
  <c r="L97"/>
  <c r="L38"/>
  <c r="N38" s="1"/>
  <c r="P38" s="1"/>
  <c r="N89"/>
  <c r="P89" s="1"/>
  <c r="L89"/>
  <c r="L170"/>
  <c r="N170" s="1"/>
  <c r="P170" s="1"/>
  <c r="E18" i="3"/>
  <c r="L11" i="6"/>
  <c r="D18" i="3" s="1"/>
  <c r="L71" i="6"/>
  <c r="N71" s="1"/>
  <c r="N104"/>
  <c r="P104" s="1"/>
  <c r="L104"/>
  <c r="L210"/>
  <c r="N210" s="1"/>
  <c r="P210" s="1"/>
  <c r="N173"/>
  <c r="P173" s="1"/>
  <c r="L173"/>
  <c r="L41"/>
  <c r="N41" s="1"/>
  <c r="P41" s="1"/>
  <c r="N111"/>
  <c r="P111" s="1"/>
  <c r="L111"/>
  <c r="L93"/>
  <c r="N93" s="1"/>
  <c r="P93" s="1"/>
  <c r="E26" i="3"/>
  <c r="L5" i="6"/>
  <c r="D26" i="3" s="1"/>
  <c r="L68" i="6"/>
  <c r="N68" s="1"/>
  <c r="N92"/>
  <c r="P92" s="1"/>
  <c r="L92"/>
  <c r="D156" i="3"/>
  <c r="E156" s="1"/>
  <c r="D157"/>
  <c r="N127" i="6"/>
  <c r="P127" s="1"/>
  <c r="L127"/>
  <c r="L135"/>
  <c r="N135" s="1"/>
  <c r="P135" s="1"/>
  <c r="N206"/>
  <c r="P206" s="1"/>
  <c r="L206"/>
  <c r="L171"/>
  <c r="N171" s="1"/>
  <c r="P171" s="1"/>
  <c r="N121"/>
  <c r="P121" s="1"/>
  <c r="L121"/>
  <c r="L84"/>
  <c r="N84" s="1"/>
  <c r="N78"/>
  <c r="L78"/>
  <c r="L117"/>
  <c r="N117" s="1"/>
  <c r="P117" s="1"/>
  <c r="N175"/>
  <c r="P175" s="1"/>
  <c r="L175"/>
  <c r="L172"/>
  <c r="N172" s="1"/>
  <c r="P172" s="1"/>
  <c r="N113"/>
  <c r="P113" s="1"/>
  <c r="L113"/>
  <c r="L67"/>
  <c r="N67" s="1"/>
  <c r="N115"/>
  <c r="P115" s="1"/>
  <c r="L115"/>
  <c r="L108"/>
  <c r="N108" s="1"/>
  <c r="P108" s="1"/>
  <c r="E16" i="3"/>
  <c r="L9" i="6"/>
  <c r="D16" i="3" s="1"/>
  <c r="L66" i="6"/>
  <c r="D114" i="3" s="1"/>
  <c r="E114" s="1"/>
  <c r="N73" i="6"/>
  <c r="L73"/>
  <c r="L90"/>
  <c r="N90" s="1"/>
  <c r="P90" s="1"/>
  <c r="N87"/>
  <c r="L87"/>
  <c r="L110"/>
  <c r="N110" s="1"/>
  <c r="P110" s="1"/>
  <c r="N124"/>
  <c r="P124" s="1"/>
  <c r="L124"/>
  <c r="L116"/>
  <c r="N116" s="1"/>
  <c r="P116" s="1"/>
  <c r="N133"/>
  <c r="P133" s="1"/>
  <c r="L133"/>
  <c r="L42"/>
  <c r="N42" s="1"/>
  <c r="P42" s="1"/>
  <c r="N168"/>
  <c r="P168" s="1"/>
  <c r="L168"/>
  <c r="L95"/>
  <c r="N95" s="1"/>
  <c r="P95" s="1"/>
  <c r="N17"/>
  <c r="P17" s="1"/>
  <c r="L17"/>
  <c r="L91"/>
  <c r="N91" s="1"/>
  <c r="P91" s="1"/>
  <c r="N169"/>
  <c r="P169" s="1"/>
  <c r="D61" i="3"/>
  <c r="E61" s="1"/>
  <c r="E56"/>
  <c r="N72" i="6"/>
  <c r="E118" i="3"/>
  <c r="N209" i="6"/>
  <c r="P209" s="1"/>
  <c r="E33" i="3"/>
  <c r="N118" i="6"/>
  <c r="P118" s="1"/>
  <c r="E157" i="3"/>
  <c r="N105" i="6"/>
  <c r="P105" s="1"/>
  <c r="E144" i="3"/>
  <c r="E147"/>
  <c r="E22"/>
  <c r="N57" i="6"/>
  <c r="P57" s="1"/>
  <c r="E52" i="3"/>
  <c r="N75" i="6"/>
  <c r="E120" i="3"/>
  <c r="N36" i="6"/>
  <c r="P36" s="1"/>
  <c r="E9" i="3"/>
  <c r="N55" i="6"/>
  <c r="P55" s="1"/>
  <c r="E53" i="3"/>
  <c r="N69" i="6"/>
  <c r="E116" i="3"/>
  <c r="N128" i="6"/>
  <c r="P128" s="1"/>
  <c r="E99" i="3"/>
  <c r="N79" i="6"/>
  <c r="E122" i="3"/>
  <c r="N40" i="6"/>
  <c r="P40" s="1"/>
  <c r="E51" i="3"/>
  <c r="N82" i="6"/>
  <c r="E124" i="3"/>
  <c r="N204" i="6"/>
  <c r="P204" s="1"/>
  <c r="E24" i="3"/>
  <c r="N207" i="6"/>
  <c r="P207" s="1"/>
  <c r="E31" i="3"/>
  <c r="N34" i="6"/>
  <c r="P34" s="1"/>
  <c r="E49" i="3"/>
  <c r="N39" i="6"/>
  <c r="P39" s="1"/>
  <c r="E50" i="3"/>
  <c r="I65" i="6"/>
  <c r="R65" s="1"/>
  <c r="J12"/>
  <c r="K12" s="1"/>
  <c r="I182"/>
  <c r="R182" s="1"/>
  <c r="N126"/>
  <c r="P126" s="1"/>
  <c r="N125"/>
  <c r="P125" s="1"/>
  <c r="N185"/>
  <c r="P185" s="1"/>
  <c r="K190"/>
  <c r="K182"/>
  <c r="N23"/>
  <c r="P23" s="1"/>
  <c r="N24"/>
  <c r="P24" s="1"/>
  <c r="N30"/>
  <c r="P30" s="1"/>
  <c r="N14"/>
  <c r="P14" s="1"/>
  <c r="N10"/>
  <c r="P10" s="1"/>
  <c r="N31"/>
  <c r="P31" s="1"/>
  <c r="K3"/>
  <c r="L3" s="1"/>
  <c r="D12" i="3" s="1"/>
  <c r="N13" i="6"/>
  <c r="P13" s="1"/>
  <c r="N8"/>
  <c r="P8" s="1"/>
  <c r="N9"/>
  <c r="P9" s="1"/>
  <c r="N15"/>
  <c r="P15" s="1"/>
  <c r="N11"/>
  <c r="P11" s="1"/>
  <c r="N4"/>
  <c r="P4" s="1"/>
  <c r="N6"/>
  <c r="P6" s="1"/>
  <c r="N5"/>
  <c r="P5" s="1"/>
  <c r="N66" l="1"/>
  <c r="N12"/>
  <c r="P12" s="1"/>
  <c r="L12"/>
  <c r="D153" i="3"/>
  <c r="E153" s="1"/>
  <c r="D154"/>
  <c r="E154" s="1"/>
  <c r="N202" i="6"/>
  <c r="P202" s="1"/>
  <c r="R183"/>
  <c r="N27"/>
  <c r="P27" s="1"/>
  <c r="E41" i="3"/>
  <c r="P21" i="6"/>
  <c r="Q21" s="1"/>
  <c r="R21" s="1"/>
  <c r="N20"/>
  <c r="P20" s="1"/>
  <c r="E35" i="3"/>
  <c r="N22" i="6"/>
  <c r="P22" s="1"/>
  <c r="E37" i="3"/>
  <c r="N29" i="6"/>
  <c r="P29" s="1"/>
  <c r="E43" i="3"/>
  <c r="N18" i="6"/>
  <c r="P18" s="1"/>
  <c r="E39" i="3"/>
  <c r="N25" i="6"/>
  <c r="P25" s="1"/>
  <c r="E45" i="3"/>
  <c r="N16" i="6"/>
  <c r="P16" s="1"/>
  <c r="E29" i="3"/>
  <c r="N7" i="6"/>
  <c r="P7" s="1"/>
  <c r="E14" i="3"/>
  <c r="I183" i="6"/>
  <c r="J65"/>
  <c r="N28"/>
  <c r="P28" s="1"/>
  <c r="N26"/>
  <c r="P26" s="1"/>
  <c r="N19"/>
  <c r="P19" s="1"/>
  <c r="K65"/>
  <c r="K183" s="1"/>
  <c r="N3" l="1"/>
  <c r="P3" s="1"/>
  <c r="E12" i="3"/>
  <c r="L96" i="1"/>
  <c r="E10" i="4"/>
  <c r="E21" s="1"/>
  <c r="E11"/>
  <c r="E12"/>
  <c r="E13"/>
  <c r="E14"/>
  <c r="E15"/>
  <c r="E16"/>
  <c r="E17"/>
  <c r="E18"/>
  <c r="E19"/>
  <c r="E20"/>
  <c r="E9"/>
  <c r="C21"/>
  <c r="B28" l="1"/>
  <c r="B35" s="1"/>
  <c r="B21"/>
  <c r="B23" s="1"/>
  <c r="M218" i="1" s="1"/>
  <c r="H214"/>
  <c r="K214" s="1"/>
  <c r="M214" s="1"/>
  <c r="I206"/>
  <c r="H206" s="1"/>
  <c r="K206" s="1"/>
  <c r="M206" s="1"/>
  <c r="I205"/>
  <c r="H205" s="1"/>
  <c r="M205" s="1"/>
  <c r="I214"/>
  <c r="I213"/>
  <c r="K215"/>
  <c r="M215" s="1"/>
  <c r="K212"/>
  <c r="M212" s="1"/>
  <c r="K211"/>
  <c r="M211" s="1"/>
  <c r="K210"/>
  <c r="M210" s="1"/>
  <c r="K209"/>
  <c r="M209" s="1"/>
  <c r="K207"/>
  <c r="M207" s="1"/>
  <c r="B29" i="4" l="1"/>
  <c r="M217" i="1"/>
  <c r="M219" s="1"/>
  <c r="N205" s="1"/>
  <c r="O5"/>
  <c r="U27" i="2"/>
  <c r="Q26"/>
  <c r="R26" s="1"/>
  <c r="L128" i="1"/>
  <c r="L125"/>
  <c r="L124"/>
  <c r="L122"/>
  <c r="L123" s="1"/>
  <c r="L120"/>
  <c r="L121" s="1"/>
  <c r="L104"/>
  <c r="L103"/>
  <c r="L102"/>
  <c r="L101"/>
  <c r="L24"/>
  <c r="U29" i="2" l="1"/>
  <c r="P5" i="1" s="1"/>
  <c r="B31" i="4"/>
  <c r="B32" s="1"/>
  <c r="O202" i="1"/>
  <c r="N213"/>
  <c r="N209"/>
  <c r="N215"/>
  <c r="N214"/>
  <c r="N210"/>
  <c r="N211"/>
  <c r="N212"/>
  <c r="N206"/>
  <c r="N207"/>
  <c r="D85" i="2"/>
  <c r="C85"/>
  <c r="B85"/>
  <c r="E84"/>
  <c r="F84" s="1"/>
  <c r="E83"/>
  <c r="F83" s="1"/>
  <c r="E82"/>
  <c r="F82" s="1"/>
  <c r="E81"/>
  <c r="F81" s="1"/>
  <c r="E80"/>
  <c r="F80" s="1"/>
  <c r="E79"/>
  <c r="F79" s="1"/>
  <c r="E78"/>
  <c r="F78" s="1"/>
  <c r="E77"/>
  <c r="F77" s="1"/>
  <c r="E76"/>
  <c r="F76" s="1"/>
  <c r="E75"/>
  <c r="F75" s="1"/>
  <c r="E74"/>
  <c r="F74" s="1"/>
  <c r="E73"/>
  <c r="F73" s="1"/>
  <c r="M63"/>
  <c r="L63"/>
  <c r="K63"/>
  <c r="J63"/>
  <c r="I63"/>
  <c r="H63"/>
  <c r="G63"/>
  <c r="F63"/>
  <c r="E63"/>
  <c r="D63"/>
  <c r="C63"/>
  <c r="B63"/>
  <c r="N61"/>
  <c r="M59"/>
  <c r="L59"/>
  <c r="K59"/>
  <c r="J59"/>
  <c r="I59"/>
  <c r="H59"/>
  <c r="G59"/>
  <c r="F59"/>
  <c r="E59"/>
  <c r="D59"/>
  <c r="C59"/>
  <c r="B59"/>
  <c r="N57"/>
  <c r="M55"/>
  <c r="M64" s="1"/>
  <c r="E55"/>
  <c r="E64" s="1"/>
  <c r="M50"/>
  <c r="L50"/>
  <c r="L55" s="1"/>
  <c r="L64" s="1"/>
  <c r="K50"/>
  <c r="K55" s="1"/>
  <c r="K64" s="1"/>
  <c r="J50"/>
  <c r="I50"/>
  <c r="I55" s="1"/>
  <c r="I64" s="1"/>
  <c r="H50"/>
  <c r="H55" s="1"/>
  <c r="H64" s="1"/>
  <c r="G50"/>
  <c r="G55" s="1"/>
  <c r="G64" s="1"/>
  <c r="F50"/>
  <c r="F55" s="1"/>
  <c r="F64" s="1"/>
  <c r="E50"/>
  <c r="D50"/>
  <c r="D55" s="1"/>
  <c r="D64" s="1"/>
  <c r="C50"/>
  <c r="C55" s="1"/>
  <c r="C64" s="1"/>
  <c r="B50"/>
  <c r="M48"/>
  <c r="L48"/>
  <c r="K48"/>
  <c r="J48"/>
  <c r="I48"/>
  <c r="H48"/>
  <c r="G48"/>
  <c r="F48"/>
  <c r="E48"/>
  <c r="D48"/>
  <c r="C48"/>
  <c r="B48"/>
  <c r="N46"/>
  <c r="M44"/>
  <c r="L44"/>
  <c r="K44"/>
  <c r="J44"/>
  <c r="I44"/>
  <c r="H44"/>
  <c r="G44"/>
  <c r="F44"/>
  <c r="E44"/>
  <c r="D44"/>
  <c r="C44"/>
  <c r="B44"/>
  <c r="N42"/>
  <c r="M40"/>
  <c r="M52" s="1"/>
  <c r="L40"/>
  <c r="K40"/>
  <c r="J40"/>
  <c r="I40"/>
  <c r="H40"/>
  <c r="G40"/>
  <c r="F40"/>
  <c r="E40"/>
  <c r="E52" s="1"/>
  <c r="D40"/>
  <c r="C40"/>
  <c r="B40"/>
  <c r="N38"/>
  <c r="N36"/>
  <c r="J27"/>
  <c r="J55" s="1"/>
  <c r="J64" s="1"/>
  <c r="N25"/>
  <c r="M25"/>
  <c r="L25"/>
  <c r="K25"/>
  <c r="J25"/>
  <c r="I25"/>
  <c r="H25"/>
  <c r="G25"/>
  <c r="F25"/>
  <c r="E25"/>
  <c r="D25"/>
  <c r="C25"/>
  <c r="B25"/>
  <c r="I22"/>
  <c r="M18"/>
  <c r="M22" s="1"/>
  <c r="L18"/>
  <c r="L22" s="1"/>
  <c r="K18"/>
  <c r="K22" s="1"/>
  <c r="J18"/>
  <c r="J22" s="1"/>
  <c r="I18"/>
  <c r="H18"/>
  <c r="H22" s="1"/>
  <c r="G18"/>
  <c r="G22" s="1"/>
  <c r="F18"/>
  <c r="F22" s="1"/>
  <c r="E18"/>
  <c r="E22" s="1"/>
  <c r="D18"/>
  <c r="D22" s="1"/>
  <c r="C18"/>
  <c r="C22" s="1"/>
  <c r="B18"/>
  <c r="M16"/>
  <c r="L16"/>
  <c r="K16"/>
  <c r="J16"/>
  <c r="I16"/>
  <c r="H16"/>
  <c r="G16"/>
  <c r="F16"/>
  <c r="E16"/>
  <c r="D16"/>
  <c r="C16"/>
  <c r="B16"/>
  <c r="N12"/>
  <c r="M10"/>
  <c r="L10"/>
  <c r="K10"/>
  <c r="J10"/>
  <c r="I10"/>
  <c r="H10"/>
  <c r="G10"/>
  <c r="F10"/>
  <c r="E10"/>
  <c r="D10"/>
  <c r="C10"/>
  <c r="B10"/>
  <c r="N6"/>
  <c r="H194" i="1"/>
  <c r="I194" s="1"/>
  <c r="H193"/>
  <c r="C192"/>
  <c r="H192" s="1"/>
  <c r="I192" s="1"/>
  <c r="H191"/>
  <c r="C190"/>
  <c r="H190" s="1"/>
  <c r="H189"/>
  <c r="I189" s="1"/>
  <c r="H188"/>
  <c r="K188" s="1"/>
  <c r="M188" s="1"/>
  <c r="H187"/>
  <c r="H186"/>
  <c r="K186" s="1"/>
  <c r="M186" s="1"/>
  <c r="H185"/>
  <c r="H184"/>
  <c r="K184" s="1"/>
  <c r="M184" s="1"/>
  <c r="G183"/>
  <c r="F183"/>
  <c r="G182"/>
  <c r="H181"/>
  <c r="C180"/>
  <c r="H180" s="1"/>
  <c r="H179"/>
  <c r="I179" s="1"/>
  <c r="C178"/>
  <c r="H178" s="1"/>
  <c r="H177"/>
  <c r="G176"/>
  <c r="C176"/>
  <c r="C175"/>
  <c r="H175" s="1"/>
  <c r="G174"/>
  <c r="C174"/>
  <c r="D173"/>
  <c r="C173" s="1"/>
  <c r="D172"/>
  <c r="C172" s="1"/>
  <c r="D171"/>
  <c r="D170"/>
  <c r="C170" s="1"/>
  <c r="C169"/>
  <c r="H169" s="1"/>
  <c r="C168"/>
  <c r="H168" s="1"/>
  <c r="G167"/>
  <c r="D167"/>
  <c r="C167"/>
  <c r="D166"/>
  <c r="C166"/>
  <c r="D165"/>
  <c r="C165"/>
  <c r="D164"/>
  <c r="H163"/>
  <c r="D162"/>
  <c r="C162" s="1"/>
  <c r="D159"/>
  <c r="C158"/>
  <c r="H158" s="1"/>
  <c r="C157"/>
  <c r="H157" s="1"/>
  <c r="C156"/>
  <c r="H156" s="1"/>
  <c r="D155"/>
  <c r="C154"/>
  <c r="C155" s="1"/>
  <c r="H153"/>
  <c r="K153" s="1"/>
  <c r="M153" s="1"/>
  <c r="H152"/>
  <c r="I152" s="1"/>
  <c r="H151"/>
  <c r="C150"/>
  <c r="H150" s="1"/>
  <c r="C149"/>
  <c r="H149" s="1"/>
  <c r="H148"/>
  <c r="I148" s="1"/>
  <c r="H147"/>
  <c r="I147" s="1"/>
  <c r="H146"/>
  <c r="K146" s="1"/>
  <c r="M146" s="1"/>
  <c r="H145"/>
  <c r="I145" s="1"/>
  <c r="H144"/>
  <c r="G143"/>
  <c r="F143"/>
  <c r="H142"/>
  <c r="H141"/>
  <c r="K141" s="1"/>
  <c r="M141" s="1"/>
  <c r="H140"/>
  <c r="I140" s="1"/>
  <c r="H137"/>
  <c r="K137" s="1"/>
  <c r="M137" s="1"/>
  <c r="H136"/>
  <c r="K136" s="1"/>
  <c r="M136" s="1"/>
  <c r="H135"/>
  <c r="I135" s="1"/>
  <c r="D134"/>
  <c r="C134"/>
  <c r="H133"/>
  <c r="K133" s="1"/>
  <c r="M133" s="1"/>
  <c r="D131"/>
  <c r="C131"/>
  <c r="C132" s="1"/>
  <c r="D130"/>
  <c r="C130"/>
  <c r="H129"/>
  <c r="I129" s="1"/>
  <c r="C128"/>
  <c r="C127"/>
  <c r="D126"/>
  <c r="H126" s="1"/>
  <c r="K126" s="1"/>
  <c r="M126" s="1"/>
  <c r="D125"/>
  <c r="C125"/>
  <c r="C139" s="1"/>
  <c r="D124"/>
  <c r="C124"/>
  <c r="C138" s="1"/>
  <c r="D122"/>
  <c r="D123" s="1"/>
  <c r="C122"/>
  <c r="C123" s="1"/>
  <c r="G121"/>
  <c r="F121"/>
  <c r="D120"/>
  <c r="D121" s="1"/>
  <c r="C120"/>
  <c r="C121" s="1"/>
  <c r="F119"/>
  <c r="H118"/>
  <c r="K118" s="1"/>
  <c r="M118" s="1"/>
  <c r="H117"/>
  <c r="K117" s="1"/>
  <c r="M117" s="1"/>
  <c r="G116"/>
  <c r="C116"/>
  <c r="C115"/>
  <c r="H115" s="1"/>
  <c r="C114"/>
  <c r="H114" s="1"/>
  <c r="C113"/>
  <c r="H113" s="1"/>
  <c r="C112"/>
  <c r="H112" s="1"/>
  <c r="C111"/>
  <c r="H111" s="1"/>
  <c r="G110"/>
  <c r="H110" s="1"/>
  <c r="K110" s="1"/>
  <c r="M110" s="1"/>
  <c r="H109"/>
  <c r="K109" s="1"/>
  <c r="M109" s="1"/>
  <c r="H108"/>
  <c r="K108" s="1"/>
  <c r="M108" s="1"/>
  <c r="H107"/>
  <c r="K107" s="1"/>
  <c r="M107" s="1"/>
  <c r="H106"/>
  <c r="K106" s="1"/>
  <c r="M106" s="1"/>
  <c r="H105"/>
  <c r="K105" s="1"/>
  <c r="M105" s="1"/>
  <c r="D103"/>
  <c r="C103"/>
  <c r="C104" s="1"/>
  <c r="D102"/>
  <c r="C102"/>
  <c r="D101"/>
  <c r="C101"/>
  <c r="G95"/>
  <c r="F95"/>
  <c r="D95"/>
  <c r="C95"/>
  <c r="C96" s="1"/>
  <c r="G92"/>
  <c r="F92"/>
  <c r="D92"/>
  <c r="C92"/>
  <c r="C93" s="1"/>
  <c r="C94" s="1"/>
  <c r="D91"/>
  <c r="C91"/>
  <c r="G88"/>
  <c r="F88"/>
  <c r="D88"/>
  <c r="C88"/>
  <c r="C89" s="1"/>
  <c r="C90" s="1"/>
  <c r="G85"/>
  <c r="F85"/>
  <c r="D85"/>
  <c r="C85"/>
  <c r="C86" s="1"/>
  <c r="C87" s="1"/>
  <c r="G82"/>
  <c r="F82"/>
  <c r="D82"/>
  <c r="C82"/>
  <c r="C83" s="1"/>
  <c r="C84" s="1"/>
  <c r="G79"/>
  <c r="F79"/>
  <c r="E79"/>
  <c r="D79"/>
  <c r="C79"/>
  <c r="C80" s="1"/>
  <c r="C81" s="1"/>
  <c r="H71"/>
  <c r="F70"/>
  <c r="C70"/>
  <c r="F69"/>
  <c r="C69"/>
  <c r="C68"/>
  <c r="H68" s="1"/>
  <c r="C67"/>
  <c r="H67" s="1"/>
  <c r="G66"/>
  <c r="F66"/>
  <c r="C66"/>
  <c r="C65"/>
  <c r="H65" s="1"/>
  <c r="H64"/>
  <c r="K64" s="1"/>
  <c r="M64" s="1"/>
  <c r="H63"/>
  <c r="H62"/>
  <c r="K62" s="1"/>
  <c r="M62" s="1"/>
  <c r="H61"/>
  <c r="C60"/>
  <c r="H60" s="1"/>
  <c r="G59"/>
  <c r="F59"/>
  <c r="C59"/>
  <c r="D58"/>
  <c r="D57"/>
  <c r="D53"/>
  <c r="C52"/>
  <c r="H52" s="1"/>
  <c r="H51"/>
  <c r="H50"/>
  <c r="I50" s="1"/>
  <c r="D49"/>
  <c r="C49"/>
  <c r="D48"/>
  <c r="C48"/>
  <c r="H47"/>
  <c r="K47" s="1"/>
  <c r="M47" s="1"/>
  <c r="H46"/>
  <c r="I46" s="1"/>
  <c r="H45"/>
  <c r="K45" s="1"/>
  <c r="M45" s="1"/>
  <c r="H44"/>
  <c r="I44" s="1"/>
  <c r="F43"/>
  <c r="H43" s="1"/>
  <c r="K43" s="1"/>
  <c r="M43" s="1"/>
  <c r="H42"/>
  <c r="K42" s="1"/>
  <c r="M42" s="1"/>
  <c r="G41"/>
  <c r="F41"/>
  <c r="H40"/>
  <c r="I40" s="1"/>
  <c r="H39"/>
  <c r="I39" s="1"/>
  <c r="H38"/>
  <c r="K38" s="1"/>
  <c r="M38" s="1"/>
  <c r="H37"/>
  <c r="K37" s="1"/>
  <c r="M37" s="1"/>
  <c r="D36"/>
  <c r="C36"/>
  <c r="H35"/>
  <c r="K35" s="1"/>
  <c r="M35" s="1"/>
  <c r="H34"/>
  <c r="K34" s="1"/>
  <c r="M34" s="1"/>
  <c r="H33"/>
  <c r="I33" s="1"/>
  <c r="H32"/>
  <c r="I32" s="1"/>
  <c r="C31"/>
  <c r="H31" s="1"/>
  <c r="K31" s="1"/>
  <c r="M31" s="1"/>
  <c r="H30"/>
  <c r="K30" s="1"/>
  <c r="M30" s="1"/>
  <c r="H29"/>
  <c r="I29" s="1"/>
  <c r="H28"/>
  <c r="K28" s="1"/>
  <c r="M28" s="1"/>
  <c r="H27"/>
  <c r="K27" s="1"/>
  <c r="M27" s="1"/>
  <c r="H26"/>
  <c r="K26" s="1"/>
  <c r="M26" s="1"/>
  <c r="H25"/>
  <c r="K25" s="1"/>
  <c r="M25" s="1"/>
  <c r="C24"/>
  <c r="H24" s="1"/>
  <c r="K24" s="1"/>
  <c r="M24" s="1"/>
  <c r="C23"/>
  <c r="H23" s="1"/>
  <c r="K23" s="1"/>
  <c r="M23" s="1"/>
  <c r="D22"/>
  <c r="C22"/>
  <c r="G21"/>
  <c r="H20"/>
  <c r="K20" s="1"/>
  <c r="M20" s="1"/>
  <c r="G19"/>
  <c r="F19"/>
  <c r="H18"/>
  <c r="K18" s="1"/>
  <c r="M18" s="1"/>
  <c r="G17"/>
  <c r="F17"/>
  <c r="H16"/>
  <c r="K16" s="1"/>
  <c r="M16" s="1"/>
  <c r="G15"/>
  <c r="F15"/>
  <c r="G14"/>
  <c r="F14"/>
  <c r="G13"/>
  <c r="F13"/>
  <c r="H12"/>
  <c r="K12" s="1"/>
  <c r="M12" s="1"/>
  <c r="H11"/>
  <c r="K11" s="1"/>
  <c r="M11" s="1"/>
  <c r="H10"/>
  <c r="O211" l="1"/>
  <c r="P211" s="1"/>
  <c r="Q211" s="1"/>
  <c r="S211" s="1"/>
  <c r="O210"/>
  <c r="P210" s="1"/>
  <c r="Q210" s="1"/>
  <c r="S210" s="1"/>
  <c r="O212"/>
  <c r="P212" s="1"/>
  <c r="Q212" s="1"/>
  <c r="S212" s="1"/>
  <c r="O215"/>
  <c r="P215" s="1"/>
  <c r="Q215" s="1"/>
  <c r="S215" s="1"/>
  <c r="O50" i="2"/>
  <c r="I52"/>
  <c r="O209" i="1"/>
  <c r="P209" s="1"/>
  <c r="O208"/>
  <c r="P208" s="1"/>
  <c r="O216"/>
  <c r="P216" s="1"/>
  <c r="O213"/>
  <c r="P213" s="1"/>
  <c r="O205"/>
  <c r="P205" s="1"/>
  <c r="Q205" s="1"/>
  <c r="O214"/>
  <c r="P214" s="1"/>
  <c r="Q214" s="1"/>
  <c r="O206"/>
  <c r="P206" s="1"/>
  <c r="S214"/>
  <c r="D83" i="3"/>
  <c r="E83" s="1"/>
  <c r="D84"/>
  <c r="E84" s="1"/>
  <c r="D82"/>
  <c r="E82" s="1"/>
  <c r="N217" i="1"/>
  <c r="O207"/>
  <c r="P207" s="1"/>
  <c r="Q207" s="1"/>
  <c r="I106"/>
  <c r="F72"/>
  <c r="K140"/>
  <c r="M140" s="1"/>
  <c r="I10"/>
  <c r="K10"/>
  <c r="M10" s="1"/>
  <c r="K79"/>
  <c r="M79" s="1"/>
  <c r="H155"/>
  <c r="K46"/>
  <c r="M46" s="1"/>
  <c r="K33"/>
  <c r="M33" s="1"/>
  <c r="K29"/>
  <c r="M29" s="1"/>
  <c r="N16" i="2"/>
  <c r="N18"/>
  <c r="B22"/>
  <c r="D52"/>
  <c r="H52"/>
  <c r="L52"/>
  <c r="N50"/>
  <c r="B55"/>
  <c r="B64" s="1"/>
  <c r="K135" i="1"/>
  <c r="M135" s="1"/>
  <c r="K145"/>
  <c r="M145" s="1"/>
  <c r="I187"/>
  <c r="K187"/>
  <c r="M187" s="1"/>
  <c r="I185"/>
  <c r="K185"/>
  <c r="M185" s="1"/>
  <c r="N10" i="2"/>
  <c r="N27"/>
  <c r="C52"/>
  <c r="G52"/>
  <c r="K52"/>
  <c r="B52"/>
  <c r="F52"/>
  <c r="J52"/>
  <c r="N63"/>
  <c r="E85"/>
  <c r="B87" s="1"/>
  <c r="B94" s="1"/>
  <c r="K44" i="1"/>
  <c r="M44" s="1"/>
  <c r="K39"/>
  <c r="M39" s="1"/>
  <c r="K148"/>
  <c r="M148" s="1"/>
  <c r="I181"/>
  <c r="K181"/>
  <c r="M181" s="1"/>
  <c r="H17"/>
  <c r="K17" s="1"/>
  <c r="M17" s="1"/>
  <c r="N40" i="2"/>
  <c r="N59"/>
  <c r="K32" i="1"/>
  <c r="M32" s="1"/>
  <c r="K129"/>
  <c r="M129" s="1"/>
  <c r="K147"/>
  <c r="M147" s="1"/>
  <c r="H14"/>
  <c r="H19"/>
  <c r="K19" s="1"/>
  <c r="M19" s="1"/>
  <c r="H49"/>
  <c r="K49" s="1"/>
  <c r="M49" s="1"/>
  <c r="H70"/>
  <c r="I70" s="1"/>
  <c r="H102"/>
  <c r="H95"/>
  <c r="K95" s="1"/>
  <c r="M95" s="1"/>
  <c r="H125"/>
  <c r="K125" s="1"/>
  <c r="M125" s="1"/>
  <c r="H36"/>
  <c r="K36" s="1"/>
  <c r="M36" s="1"/>
  <c r="H124"/>
  <c r="H176"/>
  <c r="I176" s="1"/>
  <c r="H13"/>
  <c r="K13" s="1"/>
  <c r="M13" s="1"/>
  <c r="H41"/>
  <c r="K41" s="1"/>
  <c r="M41" s="1"/>
  <c r="H48"/>
  <c r="H59"/>
  <c r="I59" s="1"/>
  <c r="C97"/>
  <c r="C98" s="1"/>
  <c r="C99" s="1"/>
  <c r="C100" s="1"/>
  <c r="H116"/>
  <c r="H170"/>
  <c r="I170" s="1"/>
  <c r="H174"/>
  <c r="I174" s="1"/>
  <c r="H82"/>
  <c r="K82" s="1"/>
  <c r="M82" s="1"/>
  <c r="H88"/>
  <c r="K88" s="1"/>
  <c r="M88" s="1"/>
  <c r="H173"/>
  <c r="I173" s="1"/>
  <c r="I23"/>
  <c r="I17"/>
  <c r="I16"/>
  <c r="I19"/>
  <c r="I24"/>
  <c r="I42"/>
  <c r="I62"/>
  <c r="G195"/>
  <c r="H91"/>
  <c r="K91" s="1"/>
  <c r="M91" s="1"/>
  <c r="I110"/>
  <c r="I114"/>
  <c r="H120"/>
  <c r="H122"/>
  <c r="K122" s="1"/>
  <c r="M122" s="1"/>
  <c r="H131"/>
  <c r="K131" s="1"/>
  <c r="M131" s="1"/>
  <c r="I133"/>
  <c r="I136"/>
  <c r="I142"/>
  <c r="I144"/>
  <c r="H154"/>
  <c r="I154" s="1"/>
  <c r="I155"/>
  <c r="I191"/>
  <c r="D127"/>
  <c r="H127" s="1"/>
  <c r="I12"/>
  <c r="H15"/>
  <c r="K15" s="1"/>
  <c r="M15" s="1"/>
  <c r="H130"/>
  <c r="K130" s="1"/>
  <c r="M130" s="1"/>
  <c r="H143"/>
  <c r="I153"/>
  <c r="H162"/>
  <c r="C171"/>
  <c r="H171" s="1"/>
  <c r="H183"/>
  <c r="I35"/>
  <c r="I64"/>
  <c r="H66"/>
  <c r="H69"/>
  <c r="I69" s="1"/>
  <c r="I71"/>
  <c r="H101"/>
  <c r="I108"/>
  <c r="I118"/>
  <c r="H119"/>
  <c r="K119" s="1"/>
  <c r="M119" s="1"/>
  <c r="H134"/>
  <c r="K134" s="1"/>
  <c r="M134" s="1"/>
  <c r="I137"/>
  <c r="I146"/>
  <c r="I151"/>
  <c r="H172"/>
  <c r="I177"/>
  <c r="C87" i="2"/>
  <c r="N22"/>
  <c r="F85"/>
  <c r="N44"/>
  <c r="H22" i="1"/>
  <c r="K22" s="1"/>
  <c r="M22" s="1"/>
  <c r="I31"/>
  <c r="I66"/>
  <c r="I11"/>
  <c r="I13"/>
  <c r="I36"/>
  <c r="I65"/>
  <c r="I67"/>
  <c r="H21"/>
  <c r="K21" s="1"/>
  <c r="M21" s="1"/>
  <c r="I60"/>
  <c r="I68"/>
  <c r="I111"/>
  <c r="I115"/>
  <c r="I116"/>
  <c r="G72"/>
  <c r="I52"/>
  <c r="I112"/>
  <c r="H121"/>
  <c r="K121" s="1"/>
  <c r="M121" s="1"/>
  <c r="I175"/>
  <c r="I180"/>
  <c r="I18"/>
  <c r="I27"/>
  <c r="D54"/>
  <c r="I61"/>
  <c r="I63"/>
  <c r="D80"/>
  <c r="D86"/>
  <c r="D93"/>
  <c r="D97"/>
  <c r="H103"/>
  <c r="D104"/>
  <c r="I105"/>
  <c r="I107"/>
  <c r="I109"/>
  <c r="I113"/>
  <c r="I117"/>
  <c r="I158"/>
  <c r="I168"/>
  <c r="I20"/>
  <c r="I25"/>
  <c r="I28"/>
  <c r="I30"/>
  <c r="I37"/>
  <c r="I43"/>
  <c r="I45"/>
  <c r="I47"/>
  <c r="I49"/>
  <c r="I51"/>
  <c r="C53"/>
  <c r="H53" s="1"/>
  <c r="C57"/>
  <c r="H57" s="1"/>
  <c r="C58"/>
  <c r="H58" s="1"/>
  <c r="H85"/>
  <c r="H92"/>
  <c r="H123"/>
  <c r="K123" s="1"/>
  <c r="M123" s="1"/>
  <c r="I126"/>
  <c r="I150"/>
  <c r="I156"/>
  <c r="I190"/>
  <c r="I26"/>
  <c r="I34"/>
  <c r="I38"/>
  <c r="D83"/>
  <c r="I88"/>
  <c r="D89"/>
  <c r="I95"/>
  <c r="D96"/>
  <c r="I162"/>
  <c r="F195"/>
  <c r="G196" s="1"/>
  <c r="I141"/>
  <c r="D160"/>
  <c r="I163"/>
  <c r="H167"/>
  <c r="H182"/>
  <c r="K182" s="1"/>
  <c r="M182" s="1"/>
  <c r="I149"/>
  <c r="I157"/>
  <c r="C159"/>
  <c r="H159" s="1"/>
  <c r="H165"/>
  <c r="I165" s="1"/>
  <c r="H166"/>
  <c r="I166" s="1"/>
  <c r="I169"/>
  <c r="I172"/>
  <c r="I178"/>
  <c r="I184"/>
  <c r="I186"/>
  <c r="I188"/>
  <c r="I193"/>
  <c r="D128"/>
  <c r="D132"/>
  <c r="D138"/>
  <c r="H138" s="1"/>
  <c r="K138" s="1"/>
  <c r="M138" s="1"/>
  <c r="D139"/>
  <c r="C164"/>
  <c r="H164" s="1"/>
  <c r="D85" i="3" l="1"/>
  <c r="E85" s="1"/>
  <c r="Q213" i="1"/>
  <c r="S213" s="1"/>
  <c r="Q209"/>
  <c r="S209" s="1"/>
  <c r="N55" i="2"/>
  <c r="O55" s="1"/>
  <c r="B97"/>
  <c r="B101" s="1"/>
  <c r="C99" s="1"/>
  <c r="Q28"/>
  <c r="Q29" s="1"/>
  <c r="M198" i="1"/>
  <c r="N52" i="2"/>
  <c r="B99"/>
  <c r="I82" i="1"/>
  <c r="I91"/>
  <c r="D87" i="2"/>
  <c r="I125" i="1"/>
  <c r="I122"/>
  <c r="I130"/>
  <c r="I41"/>
  <c r="S205"/>
  <c r="D78" i="3"/>
  <c r="D87"/>
  <c r="E87" s="1"/>
  <c r="D93"/>
  <c r="D92"/>
  <c r="D91"/>
  <c r="D86"/>
  <c r="E86" s="1"/>
  <c r="D76"/>
  <c r="S207" i="1"/>
  <c r="D74" i="3"/>
  <c r="D72"/>
  <c r="D70"/>
  <c r="D68"/>
  <c r="D66"/>
  <c r="O217" i="1"/>
  <c r="Q206"/>
  <c r="P217"/>
  <c r="I131"/>
  <c r="I134"/>
  <c r="I85"/>
  <c r="K85"/>
  <c r="M85" s="1"/>
  <c r="I103"/>
  <c r="K103"/>
  <c r="M103" s="1"/>
  <c r="I183"/>
  <c r="K183"/>
  <c r="M183" s="1"/>
  <c r="I143"/>
  <c r="K143"/>
  <c r="M143" s="1"/>
  <c r="I48"/>
  <c r="K48"/>
  <c r="M48" s="1"/>
  <c r="I124"/>
  <c r="K124"/>
  <c r="M124" s="1"/>
  <c r="I102"/>
  <c r="K102"/>
  <c r="M102" s="1"/>
  <c r="I14"/>
  <c r="K14"/>
  <c r="M14" s="1"/>
  <c r="I121"/>
  <c r="I120"/>
  <c r="K120"/>
  <c r="M120" s="1"/>
  <c r="I101"/>
  <c r="K101"/>
  <c r="M101" s="1"/>
  <c r="C94" i="2"/>
  <c r="D94" s="1"/>
  <c r="I92" i="1"/>
  <c r="K92"/>
  <c r="M92" s="1"/>
  <c r="I127"/>
  <c r="K127"/>
  <c r="M127" s="1"/>
  <c r="I119"/>
  <c r="I171"/>
  <c r="I15"/>
  <c r="E87" i="2"/>
  <c r="I159" i="1"/>
  <c r="I58"/>
  <c r="I57"/>
  <c r="I53"/>
  <c r="I138"/>
  <c r="I182"/>
  <c r="H195"/>
  <c r="H104"/>
  <c r="H97"/>
  <c r="K97" s="1"/>
  <c r="M97" s="1"/>
  <c r="D98"/>
  <c r="I21"/>
  <c r="H139"/>
  <c r="K139" s="1"/>
  <c r="M139" s="1"/>
  <c r="H96"/>
  <c r="H83"/>
  <c r="K83" s="1"/>
  <c r="M83" s="1"/>
  <c r="D84"/>
  <c r="I79"/>
  <c r="H128"/>
  <c r="K128" s="1"/>
  <c r="M128" s="1"/>
  <c r="H93"/>
  <c r="D94"/>
  <c r="H86"/>
  <c r="D87"/>
  <c r="I167"/>
  <c r="H132"/>
  <c r="C160"/>
  <c r="H160" s="1"/>
  <c r="D161"/>
  <c r="H89"/>
  <c r="K89" s="1"/>
  <c r="M89" s="1"/>
  <c r="D90"/>
  <c r="H80"/>
  <c r="K80" s="1"/>
  <c r="M80" s="1"/>
  <c r="D81"/>
  <c r="C54"/>
  <c r="H54" s="1"/>
  <c r="D55"/>
  <c r="I164"/>
  <c r="I123"/>
  <c r="I22"/>
  <c r="D94" i="3" l="1"/>
  <c r="E94" s="1"/>
  <c r="E74"/>
  <c r="P188" i="6" s="1"/>
  <c r="E78" i="3"/>
  <c r="E68"/>
  <c r="E72"/>
  <c r="E76"/>
  <c r="P189" i="6" s="1"/>
  <c r="E93" i="3"/>
  <c r="Q200" i="6"/>
  <c r="Q196"/>
  <c r="Q198"/>
  <c r="E92" i="3"/>
  <c r="E66"/>
  <c r="E70"/>
  <c r="E91"/>
  <c r="Q201" i="6"/>
  <c r="D90" i="3"/>
  <c r="M72" i="1"/>
  <c r="D96" i="3"/>
  <c r="D95"/>
  <c r="S206" i="1"/>
  <c r="S217" s="1"/>
  <c r="I93"/>
  <c r="K93"/>
  <c r="M93" s="1"/>
  <c r="I132"/>
  <c r="K132"/>
  <c r="M132" s="1"/>
  <c r="I104"/>
  <c r="K104"/>
  <c r="M104" s="1"/>
  <c r="I86"/>
  <c r="K86"/>
  <c r="M86" s="1"/>
  <c r="I96"/>
  <c r="K96"/>
  <c r="M96" s="1"/>
  <c r="C97" i="2"/>
  <c r="I54" i="1"/>
  <c r="I160"/>
  <c r="I89"/>
  <c r="C161"/>
  <c r="H161" s="1"/>
  <c r="H87"/>
  <c r="K87" s="1"/>
  <c r="M87" s="1"/>
  <c r="H98"/>
  <c r="K98" s="1"/>
  <c r="M98" s="1"/>
  <c r="D99"/>
  <c r="C55"/>
  <c r="H55" s="1"/>
  <c r="D56"/>
  <c r="H81"/>
  <c r="K81" s="1"/>
  <c r="M81" s="1"/>
  <c r="H84"/>
  <c r="K84" s="1"/>
  <c r="M84" s="1"/>
  <c r="I128"/>
  <c r="I139"/>
  <c r="I97"/>
  <c r="H90"/>
  <c r="H94"/>
  <c r="I80"/>
  <c r="I83"/>
  <c r="Q187" i="6" l="1"/>
  <c r="Q189"/>
  <c r="Q195"/>
  <c r="Q197"/>
  <c r="E96" i="3"/>
  <c r="E95"/>
  <c r="E90"/>
  <c r="Q188" i="6"/>
  <c r="I90" i="1"/>
  <c r="K90"/>
  <c r="M90" s="1"/>
  <c r="I94"/>
  <c r="K94"/>
  <c r="M94" s="1"/>
  <c r="I84"/>
  <c r="I98"/>
  <c r="I55"/>
  <c r="I161"/>
  <c r="C56"/>
  <c r="H56" s="1"/>
  <c r="H99"/>
  <c r="K99" s="1"/>
  <c r="M99" s="1"/>
  <c r="D100"/>
  <c r="I81"/>
  <c r="I87"/>
  <c r="Q185" i="6" l="1"/>
  <c r="P190"/>
  <c r="Q199"/>
  <c r="I56" i="1"/>
  <c r="H100"/>
  <c r="I99"/>
  <c r="Q186" i="6" l="1"/>
  <c r="Q190" s="1"/>
  <c r="I100" i="1"/>
  <c r="K100"/>
  <c r="M100" s="1"/>
  <c r="C64" i="5" l="1"/>
  <c r="C65" s="1"/>
  <c r="Q191" i="6"/>
  <c r="M195" i="1"/>
  <c r="M197" s="1"/>
  <c r="M199" s="1"/>
  <c r="N183" l="1"/>
  <c r="O183" s="1"/>
  <c r="P183" s="1"/>
  <c r="Q183" s="1"/>
  <c r="S183" s="1"/>
  <c r="N147"/>
  <c r="O147" s="1"/>
  <c r="P147" s="1"/>
  <c r="Q147" s="1"/>
  <c r="S147" s="1"/>
  <c r="N83"/>
  <c r="O83" s="1"/>
  <c r="P83" s="1"/>
  <c r="Q83" s="1"/>
  <c r="S83" s="1"/>
  <c r="N98"/>
  <c r="O98" s="1"/>
  <c r="P98" s="1"/>
  <c r="Q98" s="1"/>
  <c r="S98" s="1"/>
  <c r="N21"/>
  <c r="O21" s="1"/>
  <c r="P21" s="1"/>
  <c r="Q21" s="1"/>
  <c r="S21" s="1"/>
  <c r="N86"/>
  <c r="O86" s="1"/>
  <c r="P86" s="1"/>
  <c r="Q86" s="1"/>
  <c r="S86" s="1"/>
  <c r="N16"/>
  <c r="O16" s="1"/>
  <c r="P16" s="1"/>
  <c r="Q16" s="1"/>
  <c r="N11"/>
  <c r="O11" s="1"/>
  <c r="P11" s="1"/>
  <c r="Q11" s="1"/>
  <c r="S11" s="1"/>
  <c r="N26"/>
  <c r="O26" s="1"/>
  <c r="P26" s="1"/>
  <c r="Q26" s="1"/>
  <c r="S26" s="1"/>
  <c r="N153"/>
  <c r="O153" s="1"/>
  <c r="P153" s="1"/>
  <c r="Q153" s="1"/>
  <c r="S153" s="1"/>
  <c r="N44"/>
  <c r="O44" s="1"/>
  <c r="P44" s="1"/>
  <c r="Q44" s="1"/>
  <c r="S44" s="1"/>
  <c r="N139"/>
  <c r="O139" s="1"/>
  <c r="P139" s="1"/>
  <c r="Q139" s="1"/>
  <c r="S139" s="1"/>
  <c r="N64"/>
  <c r="O64" s="1"/>
  <c r="P64" s="1"/>
  <c r="Q64" s="1"/>
  <c r="N96"/>
  <c r="O96" s="1"/>
  <c r="P96" s="1"/>
  <c r="Q96" s="1"/>
  <c r="S96" s="1"/>
  <c r="N141"/>
  <c r="O141" s="1"/>
  <c r="P141" s="1"/>
  <c r="Q141" s="1"/>
  <c r="S141" s="1"/>
  <c r="N22"/>
  <c r="O22" s="1"/>
  <c r="P22" s="1"/>
  <c r="Q22" s="1"/>
  <c r="S22" s="1"/>
  <c r="N34"/>
  <c r="O34" s="1"/>
  <c r="P34" s="1"/>
  <c r="Q34" s="1"/>
  <c r="N20"/>
  <c r="O20" s="1"/>
  <c r="P20" s="1"/>
  <c r="Q20" s="1"/>
  <c r="N87"/>
  <c r="O87" s="1"/>
  <c r="P87" s="1"/>
  <c r="Q87" s="1"/>
  <c r="S87" s="1"/>
  <c r="N136"/>
  <c r="O136" s="1"/>
  <c r="P136" s="1"/>
  <c r="Q136" s="1"/>
  <c r="S136" s="1"/>
  <c r="N84"/>
  <c r="O84" s="1"/>
  <c r="P84" s="1"/>
  <c r="Q84" s="1"/>
  <c r="S84" s="1"/>
  <c r="N181"/>
  <c r="O181" s="1"/>
  <c r="P181" s="1"/>
  <c r="Q181" s="1"/>
  <c r="S181" s="1"/>
  <c r="N81"/>
  <c r="O81" s="1"/>
  <c r="P81" s="1"/>
  <c r="Q81" s="1"/>
  <c r="S81" s="1"/>
  <c r="N137"/>
  <c r="O137" s="1"/>
  <c r="P137" s="1"/>
  <c r="Q137" s="1"/>
  <c r="N45"/>
  <c r="O45" s="1"/>
  <c r="P45" s="1"/>
  <c r="Q45" s="1"/>
  <c r="S45" s="1"/>
  <c r="N28"/>
  <c r="O28" s="1"/>
  <c r="P28" s="1"/>
  <c r="Q28" s="1"/>
  <c r="S28" s="1"/>
  <c r="N108"/>
  <c r="O108" s="1"/>
  <c r="P108" s="1"/>
  <c r="Q108" s="1"/>
  <c r="S108" s="1"/>
  <c r="N89"/>
  <c r="O89" s="1"/>
  <c r="P89" s="1"/>
  <c r="Q89" s="1"/>
  <c r="S89" s="1"/>
  <c r="N101"/>
  <c r="O101" s="1"/>
  <c r="P101" s="1"/>
  <c r="Q101" s="1"/>
  <c r="S101" s="1"/>
  <c r="N62"/>
  <c r="O62" s="1"/>
  <c r="P62" s="1"/>
  <c r="Q62" s="1"/>
  <c r="S62" s="1"/>
  <c r="N121"/>
  <c r="O121" s="1"/>
  <c r="P121" s="1"/>
  <c r="Q121" s="1"/>
  <c r="S121" s="1"/>
  <c r="N18"/>
  <c r="O18" s="1"/>
  <c r="P18" s="1"/>
  <c r="Q18" s="1"/>
  <c r="N39"/>
  <c r="O39" s="1"/>
  <c r="P39" s="1"/>
  <c r="Q39" s="1"/>
  <c r="S39" s="1"/>
  <c r="N133"/>
  <c r="O133" s="1"/>
  <c r="P133" s="1"/>
  <c r="Q133" s="1"/>
  <c r="S133" s="1"/>
  <c r="N103"/>
  <c r="O103" s="1"/>
  <c r="P103" s="1"/>
  <c r="Q103" s="1"/>
  <c r="S103" s="1"/>
  <c r="N17"/>
  <c r="O17" s="1"/>
  <c r="P17" s="1"/>
  <c r="Q17" s="1"/>
  <c r="S17" s="1"/>
  <c r="N10"/>
  <c r="N27"/>
  <c r="O27" s="1"/>
  <c r="P27" s="1"/>
  <c r="Q27" s="1"/>
  <c r="N90"/>
  <c r="O90" s="1"/>
  <c r="P90" s="1"/>
  <c r="Q90" s="1"/>
  <c r="S90" s="1"/>
  <c r="N79"/>
  <c r="N95"/>
  <c r="O95" s="1"/>
  <c r="P95" s="1"/>
  <c r="Q95" s="1"/>
  <c r="N29"/>
  <c r="O29" s="1"/>
  <c r="P29" s="1"/>
  <c r="Q29" s="1"/>
  <c r="N186"/>
  <c r="O186" s="1"/>
  <c r="P186" s="1"/>
  <c r="Q186" s="1"/>
  <c r="S186" s="1"/>
  <c r="N148"/>
  <c r="O148" s="1"/>
  <c r="P148" s="1"/>
  <c r="Q148" s="1"/>
  <c r="S148" s="1"/>
  <c r="N123"/>
  <c r="O123" s="1"/>
  <c r="P123" s="1"/>
  <c r="Q123" s="1"/>
  <c r="S123" s="1"/>
  <c r="N185"/>
  <c r="O185" s="1"/>
  <c r="P185" s="1"/>
  <c r="Q185" s="1"/>
  <c r="S185" s="1"/>
  <c r="N124"/>
  <c r="O124" s="1"/>
  <c r="P124" s="1"/>
  <c r="Q124" s="1"/>
  <c r="S124" s="1"/>
  <c r="N184"/>
  <c r="O184" s="1"/>
  <c r="P184" s="1"/>
  <c r="Q184" s="1"/>
  <c r="S184" s="1"/>
  <c r="N138"/>
  <c r="O138" s="1"/>
  <c r="P138" s="1"/>
  <c r="Q138" s="1"/>
  <c r="S138" s="1"/>
  <c r="N102"/>
  <c r="O102" s="1"/>
  <c r="P102" s="1"/>
  <c r="Q102" s="1"/>
  <c r="S102" s="1"/>
  <c r="N109"/>
  <c r="O109" s="1"/>
  <c r="P109" s="1"/>
  <c r="Q109" s="1"/>
  <c r="S109" s="1"/>
  <c r="N37"/>
  <c r="O37" s="1"/>
  <c r="P37" s="1"/>
  <c r="Q37" s="1"/>
  <c r="S37" s="1"/>
  <c r="N12"/>
  <c r="O12" s="1"/>
  <c r="P12" s="1"/>
  <c r="Q12" s="1"/>
  <c r="N30"/>
  <c r="O30" s="1"/>
  <c r="P30" s="1"/>
  <c r="Q30" s="1"/>
  <c r="S30" s="1"/>
  <c r="N110"/>
  <c r="O110" s="1"/>
  <c r="P110" s="1"/>
  <c r="Q110" s="1"/>
  <c r="S110" s="1"/>
  <c r="N41"/>
  <c r="O41" s="1"/>
  <c r="P41" s="1"/>
  <c r="Q41" s="1"/>
  <c r="N88"/>
  <c r="O88" s="1"/>
  <c r="P88" s="1"/>
  <c r="Q88" s="1"/>
  <c r="N85"/>
  <c r="O85" s="1"/>
  <c r="P85" s="1"/>
  <c r="Q85" s="1"/>
  <c r="N182"/>
  <c r="O182" s="1"/>
  <c r="P182" s="1"/>
  <c r="Q182" s="1"/>
  <c r="S182" s="1"/>
  <c r="N43"/>
  <c r="O43" s="1"/>
  <c r="P43" s="1"/>
  <c r="Q43" s="1"/>
  <c r="N106"/>
  <c r="O106" s="1"/>
  <c r="P106" s="1"/>
  <c r="Q106" s="1"/>
  <c r="S106" s="1"/>
  <c r="N122"/>
  <c r="O122" s="1"/>
  <c r="P122" s="1"/>
  <c r="Q122" s="1"/>
  <c r="S122" s="1"/>
  <c r="N42"/>
  <c r="O42" s="1"/>
  <c r="P42" s="1"/>
  <c r="Q42" s="1"/>
  <c r="S42" s="1"/>
  <c r="N129"/>
  <c r="O129" s="1"/>
  <c r="P129" s="1"/>
  <c r="Q129" s="1"/>
  <c r="S129" s="1"/>
  <c r="N146"/>
  <c r="O146" s="1"/>
  <c r="P146" s="1"/>
  <c r="Q146" s="1"/>
  <c r="S146" s="1"/>
  <c r="N49"/>
  <c r="O49" s="1"/>
  <c r="P49" s="1"/>
  <c r="Q49" s="1"/>
  <c r="S49" s="1"/>
  <c r="N117"/>
  <c r="O117" s="1"/>
  <c r="P117" s="1"/>
  <c r="Q117" s="1"/>
  <c r="S117" s="1"/>
  <c r="N14"/>
  <c r="O14" s="1"/>
  <c r="P14" s="1"/>
  <c r="Q14" s="1"/>
  <c r="N38"/>
  <c r="O38" s="1"/>
  <c r="P38" s="1"/>
  <c r="Q38" s="1"/>
  <c r="S38" s="1"/>
  <c r="N92"/>
  <c r="O92" s="1"/>
  <c r="P92" s="1"/>
  <c r="Q92" s="1"/>
  <c r="N126"/>
  <c r="O126" s="1"/>
  <c r="P126" s="1"/>
  <c r="Q126" s="1"/>
  <c r="N47"/>
  <c r="O47" s="1"/>
  <c r="P47" s="1"/>
  <c r="Q47" s="1"/>
  <c r="S47" s="1"/>
  <c r="N46"/>
  <c r="O46" s="1"/>
  <c r="P46" s="1"/>
  <c r="Q46" s="1"/>
  <c r="S46" s="1"/>
  <c r="N128"/>
  <c r="O128" s="1"/>
  <c r="P128" s="1"/>
  <c r="Q128" s="1"/>
  <c r="S128" s="1"/>
  <c r="N127"/>
  <c r="O127" s="1"/>
  <c r="P127" s="1"/>
  <c r="Q127" s="1"/>
  <c r="S127" s="1"/>
  <c r="N82"/>
  <c r="O82" s="1"/>
  <c r="P82" s="1"/>
  <c r="Q82" s="1"/>
  <c r="N125"/>
  <c r="O125" s="1"/>
  <c r="P125" s="1"/>
  <c r="Q125" s="1"/>
  <c r="S125" s="1"/>
  <c r="N15"/>
  <c r="O15" s="1"/>
  <c r="P15" s="1"/>
  <c r="Q15" s="1"/>
  <c r="S15" s="1"/>
  <c r="N118"/>
  <c r="O118" s="1"/>
  <c r="P118" s="1"/>
  <c r="Q118" s="1"/>
  <c r="S118" s="1"/>
  <c r="N80"/>
  <c r="O80" s="1"/>
  <c r="P80" s="1"/>
  <c r="Q80" s="1"/>
  <c r="S80" s="1"/>
  <c r="N93"/>
  <c r="O93" s="1"/>
  <c r="P93" s="1"/>
  <c r="Q93" s="1"/>
  <c r="S93" s="1"/>
  <c r="N91"/>
  <c r="O91" s="1"/>
  <c r="P91" s="1"/>
  <c r="Q91" s="1"/>
  <c r="S91" s="1"/>
  <c r="N25"/>
  <c r="O25" s="1"/>
  <c r="P25" s="1"/>
  <c r="Q25" s="1"/>
  <c r="N104"/>
  <c r="O104" s="1"/>
  <c r="P104" s="1"/>
  <c r="Q104" s="1"/>
  <c r="S104" s="1"/>
  <c r="N97"/>
  <c r="O97" s="1"/>
  <c r="P97" s="1"/>
  <c r="Q97" s="1"/>
  <c r="S97" s="1"/>
  <c r="N13"/>
  <c r="O13" s="1"/>
  <c r="P13" s="1"/>
  <c r="Q13" s="1"/>
  <c r="S13" s="1"/>
  <c r="N120"/>
  <c r="O120" s="1"/>
  <c r="P120" s="1"/>
  <c r="Q120" s="1"/>
  <c r="S120" s="1"/>
  <c r="N31"/>
  <c r="O31" s="1"/>
  <c r="P31" s="1"/>
  <c r="Q31" s="1"/>
  <c r="S31" s="1"/>
  <c r="N33"/>
  <c r="O33" s="1"/>
  <c r="P33" s="1"/>
  <c r="Q33" s="1"/>
  <c r="S33" s="1"/>
  <c r="N35"/>
  <c r="O35" s="1"/>
  <c r="P35" s="1"/>
  <c r="Q35" s="1"/>
  <c r="S35" s="1"/>
  <c r="N132"/>
  <c r="O132" s="1"/>
  <c r="P132" s="1"/>
  <c r="Q132" s="1"/>
  <c r="S132" s="1"/>
  <c r="N140"/>
  <c r="O140" s="1"/>
  <c r="P140" s="1"/>
  <c r="Q140" s="1"/>
  <c r="S140" s="1"/>
  <c r="N145"/>
  <c r="O145" s="1"/>
  <c r="P145" s="1"/>
  <c r="Q145" s="1"/>
  <c r="N105"/>
  <c r="O105" s="1"/>
  <c r="P105" s="1"/>
  <c r="Q105" s="1"/>
  <c r="S105" s="1"/>
  <c r="N23"/>
  <c r="O23" s="1"/>
  <c r="P23" s="1"/>
  <c r="Q23" s="1"/>
  <c r="N19"/>
  <c r="O19" s="1"/>
  <c r="P19" s="1"/>
  <c r="Q19" s="1"/>
  <c r="S19" s="1"/>
  <c r="N143"/>
  <c r="O143" s="1"/>
  <c r="P143" s="1"/>
  <c r="Q143" s="1"/>
  <c r="S143" s="1"/>
  <c r="N119"/>
  <c r="O119" s="1"/>
  <c r="P119" s="1"/>
  <c r="Q119" s="1"/>
  <c r="N134"/>
  <c r="O134" s="1"/>
  <c r="P134" s="1"/>
  <c r="Q134" s="1"/>
  <c r="S134" s="1"/>
  <c r="N187"/>
  <c r="O187" s="1"/>
  <c r="P187" s="1"/>
  <c r="Q187" s="1"/>
  <c r="S187" s="1"/>
  <c r="N131"/>
  <c r="O131" s="1"/>
  <c r="P131" s="1"/>
  <c r="Q131" s="1"/>
  <c r="N36"/>
  <c r="O36" s="1"/>
  <c r="P36" s="1"/>
  <c r="Q36" s="1"/>
  <c r="S36" s="1"/>
  <c r="N130"/>
  <c r="O130" s="1"/>
  <c r="P130" s="1"/>
  <c r="Q130" s="1"/>
  <c r="S130" s="1"/>
  <c r="N135"/>
  <c r="O135" s="1"/>
  <c r="P135" s="1"/>
  <c r="Q135" s="1"/>
  <c r="S135" s="1"/>
  <c r="N24"/>
  <c r="O24" s="1"/>
  <c r="P24" s="1"/>
  <c r="Q24" s="1"/>
  <c r="S24" s="1"/>
  <c r="N32"/>
  <c r="O32" s="1"/>
  <c r="P32" s="1"/>
  <c r="Q32" s="1"/>
  <c r="N99"/>
  <c r="O99" s="1"/>
  <c r="P99" s="1"/>
  <c r="Q99" s="1"/>
  <c r="S99" s="1"/>
  <c r="N48"/>
  <c r="O48" s="1"/>
  <c r="P48" s="1"/>
  <c r="Q48" s="1"/>
  <c r="S48" s="1"/>
  <c r="N107"/>
  <c r="O107" s="1"/>
  <c r="P107" s="1"/>
  <c r="Q107" s="1"/>
  <c r="S107" s="1"/>
  <c r="N188"/>
  <c r="O188" s="1"/>
  <c r="P188" s="1"/>
  <c r="Q188" s="1"/>
  <c r="S188" s="1"/>
  <c r="N94"/>
  <c r="O94" s="1"/>
  <c r="P94" s="1"/>
  <c r="Q94" s="1"/>
  <c r="S94" s="1"/>
  <c r="N100"/>
  <c r="O100" s="1"/>
  <c r="P100" s="1"/>
  <c r="Q100" s="1"/>
  <c r="S100" s="1"/>
  <c r="S23" l="1"/>
  <c r="S126"/>
  <c r="S16"/>
  <c r="S92"/>
  <c r="S27"/>
  <c r="S18"/>
  <c r="S14"/>
  <c r="S25"/>
  <c r="S41"/>
  <c r="S131"/>
  <c r="S12"/>
  <c r="O10"/>
  <c r="N72"/>
  <c r="S64"/>
  <c r="S82"/>
  <c r="S32"/>
  <c r="S119"/>
  <c r="S85"/>
  <c r="S29"/>
  <c r="S20"/>
  <c r="O79"/>
  <c r="N195"/>
  <c r="N197" s="1"/>
  <c r="S137"/>
  <c r="S145"/>
  <c r="S43"/>
  <c r="S88"/>
  <c r="S95"/>
  <c r="S34"/>
  <c r="D150" i="3" l="1"/>
  <c r="D161"/>
  <c r="D121"/>
  <c r="E121" s="1"/>
  <c r="D131"/>
  <c r="E131" s="1"/>
  <c r="D21"/>
  <c r="D17"/>
  <c r="D42"/>
  <c r="D46"/>
  <c r="D27"/>
  <c r="D15"/>
  <c r="D44"/>
  <c r="D117"/>
  <c r="E117" s="1"/>
  <c r="D129"/>
  <c r="E129" s="1"/>
  <c r="D19"/>
  <c r="D38"/>
  <c r="D34"/>
  <c r="D133"/>
  <c r="E133" s="1"/>
  <c r="D125"/>
  <c r="E125" s="1"/>
  <c r="D145"/>
  <c r="E145" s="1"/>
  <c r="D146"/>
  <c r="E146" s="1"/>
  <c r="D160"/>
  <c r="D130"/>
  <c r="E130" s="1"/>
  <c r="D119"/>
  <c r="E119" s="1"/>
  <c r="D36"/>
  <c r="D123"/>
  <c r="E123" s="1"/>
  <c r="D132"/>
  <c r="E132" s="1"/>
  <c r="D162"/>
  <c r="E162" s="1"/>
  <c r="D30"/>
  <c r="D100"/>
  <c r="E100" s="1"/>
  <c r="P79" i="1"/>
  <c r="O195"/>
  <c r="P10"/>
  <c r="O72"/>
  <c r="D40" i="3"/>
  <c r="D32"/>
  <c r="P76" i="6" l="1"/>
  <c r="P78"/>
  <c r="P77"/>
  <c r="P75"/>
  <c r="P73"/>
  <c r="P74"/>
  <c r="P72"/>
  <c r="P71"/>
  <c r="P70"/>
  <c r="P69"/>
  <c r="P83"/>
  <c r="P80"/>
  <c r="P81"/>
  <c r="P79"/>
  <c r="P85"/>
  <c r="P86"/>
  <c r="P87"/>
  <c r="P84"/>
  <c r="P82"/>
  <c r="Q133"/>
  <c r="R133" s="1"/>
  <c r="Q209"/>
  <c r="Q105"/>
  <c r="R105" s="1"/>
  <c r="Q106"/>
  <c r="R106" s="1"/>
  <c r="Q14"/>
  <c r="R14" s="1"/>
  <c r="E30" i="3"/>
  <c r="E36"/>
  <c r="Q12" i="6"/>
  <c r="R12" s="1"/>
  <c r="E44" i="3"/>
  <c r="E46"/>
  <c r="E42"/>
  <c r="E21"/>
  <c r="E34"/>
  <c r="Q37" i="6"/>
  <c r="R37" s="1"/>
  <c r="E19" i="3"/>
  <c r="Q28" i="6"/>
  <c r="R28" s="1"/>
  <c r="Q10"/>
  <c r="R10" s="1"/>
  <c r="E40" i="3"/>
  <c r="E27"/>
  <c r="E161"/>
  <c r="E38"/>
  <c r="E32"/>
  <c r="Q55" i="6"/>
  <c r="R55" s="1"/>
  <c r="E160" i="3"/>
  <c r="E15"/>
  <c r="Q26" i="6"/>
  <c r="R26" s="1"/>
  <c r="E17" i="3"/>
  <c r="D151"/>
  <c r="E151" s="1"/>
  <c r="E150"/>
  <c r="Q36" i="6"/>
  <c r="R36" s="1"/>
  <c r="Q19"/>
  <c r="R19" s="1"/>
  <c r="Q207"/>
  <c r="D137" i="3"/>
  <c r="D101"/>
  <c r="E101" s="1"/>
  <c r="D23"/>
  <c r="E23" s="1"/>
  <c r="D139"/>
  <c r="P72" i="1"/>
  <c r="Q10"/>
  <c r="O197"/>
  <c r="D140" i="3"/>
  <c r="D138"/>
  <c r="D141"/>
  <c r="P195" i="1"/>
  <c r="P197" s="1"/>
  <c r="Q79"/>
  <c r="Q57" i="6" l="1"/>
  <c r="R57" s="1"/>
  <c r="Q116"/>
  <c r="R116" s="1"/>
  <c r="Q117"/>
  <c r="R117" s="1"/>
  <c r="Q6"/>
  <c r="R6" s="1"/>
  <c r="Q34"/>
  <c r="R34" s="1"/>
  <c r="Q71"/>
  <c r="R71" s="1"/>
  <c r="Q87"/>
  <c r="R87" s="1"/>
  <c r="Q123"/>
  <c r="R123" s="1"/>
  <c r="Q88"/>
  <c r="R88" s="1"/>
  <c r="Q170"/>
  <c r="R170" s="1"/>
  <c r="Q90"/>
  <c r="R90" s="1"/>
  <c r="Q171"/>
  <c r="R171" s="1"/>
  <c r="Q173"/>
  <c r="R173" s="1"/>
  <c r="Q172"/>
  <c r="R172" s="1"/>
  <c r="Q77"/>
  <c r="R77" s="1"/>
  <c r="Q111"/>
  <c r="R111" s="1"/>
  <c r="Q112"/>
  <c r="R112" s="1"/>
  <c r="Q132"/>
  <c r="R132" s="1"/>
  <c r="Q84"/>
  <c r="R84" s="1"/>
  <c r="Q85"/>
  <c r="R85" s="1"/>
  <c r="Q168"/>
  <c r="R168" s="1"/>
  <c r="E139" i="3"/>
  <c r="E138"/>
  <c r="E141"/>
  <c r="Q41" i="6"/>
  <c r="R41" s="1"/>
  <c r="Q32"/>
  <c r="R32" s="1"/>
  <c r="E140" i="3"/>
  <c r="E137"/>
  <c r="Q31" i="6"/>
  <c r="R31" s="1"/>
  <c r="Q42"/>
  <c r="R42" s="1"/>
  <c r="Q35"/>
  <c r="R35" s="1"/>
  <c r="Q175"/>
  <c r="R175" s="1"/>
  <c r="Q122"/>
  <c r="R122" s="1"/>
  <c r="Q130"/>
  <c r="R130" s="1"/>
  <c r="Q126"/>
  <c r="R126" s="1"/>
  <c r="Q127"/>
  <c r="R127" s="1"/>
  <c r="Q82"/>
  <c r="R82" s="1"/>
  <c r="Q91"/>
  <c r="R91" s="1"/>
  <c r="Q80"/>
  <c r="R80" s="1"/>
  <c r="Q75"/>
  <c r="R75" s="1"/>
  <c r="Q72"/>
  <c r="R72" s="1"/>
  <c r="Q70"/>
  <c r="R70" s="1"/>
  <c r="Q38"/>
  <c r="R38" s="1"/>
  <c r="Q40"/>
  <c r="R40" s="1"/>
  <c r="Q29"/>
  <c r="R29" s="1"/>
  <c r="Q39"/>
  <c r="R39" s="1"/>
  <c r="Q22"/>
  <c r="R22" s="1"/>
  <c r="Q16"/>
  <c r="R16" s="1"/>
  <c r="Q8"/>
  <c r="R8" s="1"/>
  <c r="Q134"/>
  <c r="R134" s="1"/>
  <c r="D25" i="3"/>
  <c r="E25" s="1"/>
  <c r="S79" i="1"/>
  <c r="S195" s="1"/>
  <c r="S10"/>
  <c r="S72" s="1"/>
  <c r="D102" i="3"/>
  <c r="E102" s="1"/>
  <c r="Q73" i="6" l="1"/>
  <c r="R73" s="1"/>
  <c r="Q79"/>
  <c r="R79" s="1"/>
  <c r="Q44"/>
  <c r="Q174"/>
  <c r="R174" s="1"/>
  <c r="Q17"/>
  <c r="R17" s="1"/>
  <c r="Q89"/>
  <c r="R89" s="1"/>
  <c r="Q15"/>
  <c r="R15" s="1"/>
  <c r="Q24"/>
  <c r="R24" s="1"/>
  <c r="Q69"/>
  <c r="R69" s="1"/>
  <c r="Q74"/>
  <c r="R74" s="1"/>
  <c r="Q78"/>
  <c r="R78" s="1"/>
  <c r="Q86"/>
  <c r="R86" s="1"/>
  <c r="Q124"/>
  <c r="R124" s="1"/>
  <c r="Q125"/>
  <c r="R125" s="1"/>
  <c r="Q115"/>
  <c r="R115" s="1"/>
  <c r="Q210"/>
  <c r="Q76"/>
  <c r="R76" s="1"/>
  <c r="Q83"/>
  <c r="R83" s="1"/>
  <c r="Q135"/>
  <c r="R135" s="1"/>
  <c r="Q81"/>
  <c r="R81" s="1"/>
  <c r="Q206"/>
  <c r="Q43"/>
  <c r="Q208"/>
  <c r="Q110"/>
  <c r="R110" s="1"/>
  <c r="Q114"/>
  <c r="R114" s="1"/>
  <c r="Q119"/>
  <c r="R119" s="1"/>
  <c r="Q202"/>
  <c r="Q93"/>
  <c r="R93" s="1"/>
  <c r="Q94"/>
  <c r="R94" s="1"/>
  <c r="Q20"/>
  <c r="R20" s="1"/>
  <c r="Q27"/>
  <c r="R27" s="1"/>
  <c r="Q18"/>
  <c r="R18" s="1"/>
  <c r="Q25"/>
  <c r="R25" s="1"/>
  <c r="Q7"/>
  <c r="R7" s="1"/>
  <c r="Q5"/>
  <c r="R5" s="1"/>
  <c r="Q30"/>
  <c r="R30" s="1"/>
  <c r="Q11"/>
  <c r="R11" s="1"/>
  <c r="Q13"/>
  <c r="R13" s="1"/>
  <c r="Q23"/>
  <c r="R23" s="1"/>
  <c r="Q9"/>
  <c r="R9" s="1"/>
  <c r="Q118"/>
  <c r="R118" s="1"/>
  <c r="Q113"/>
  <c r="R113" s="1"/>
  <c r="Q107"/>
  <c r="R107" s="1"/>
  <c r="Q109"/>
  <c r="R109" s="1"/>
  <c r="Q203"/>
  <c r="D13" i="3"/>
  <c r="D128"/>
  <c r="E128" s="1"/>
  <c r="D115"/>
  <c r="E115" s="1"/>
  <c r="S197" i="1"/>
  <c r="D103" i="3"/>
  <c r="E103" s="1"/>
  <c r="P67" i="6" l="1"/>
  <c r="P68"/>
  <c r="P66"/>
  <c r="Q108"/>
  <c r="R108" s="1"/>
  <c r="Q128"/>
  <c r="R128" s="1"/>
  <c r="Q121"/>
  <c r="R121" s="1"/>
  <c r="Q95"/>
  <c r="R95" s="1"/>
  <c r="Q96"/>
  <c r="R96" s="1"/>
  <c r="Q97"/>
  <c r="R97" s="1"/>
  <c r="Q204"/>
  <c r="E13" i="3"/>
  <c r="Q120" i="6"/>
  <c r="R120" s="1"/>
  <c r="D104" i="3"/>
  <c r="E104" s="1"/>
  <c r="D136"/>
  <c r="Q205" i="6" l="1"/>
  <c r="Q67"/>
  <c r="R67" s="1"/>
  <c r="Q169"/>
  <c r="R169" s="1"/>
  <c r="Q68"/>
  <c r="R68" s="1"/>
  <c r="Q104"/>
  <c r="R104" s="1"/>
  <c r="P65"/>
  <c r="E136" i="3"/>
  <c r="Q3" i="6"/>
  <c r="R3" s="1"/>
  <c r="P182" l="1"/>
  <c r="P183" s="1"/>
  <c r="Q66"/>
  <c r="R66" s="1"/>
  <c r="Q4"/>
  <c r="Q65" l="1"/>
  <c r="S65" s="1"/>
  <c r="R4"/>
  <c r="Q92"/>
  <c r="Q182" l="1"/>
  <c r="R92"/>
  <c r="Q183" l="1"/>
  <c r="S182"/>
  <c r="Q184" l="1"/>
  <c r="R184" s="1"/>
  <c r="B64" i="5"/>
  <c r="B65" s="1"/>
</calcChain>
</file>

<file path=xl/comments1.xml><?xml version="1.0" encoding="utf-8"?>
<comments xmlns="http://schemas.openxmlformats.org/spreadsheetml/2006/main">
  <authors>
    <author>WCNX</author>
    <author>Mike Young</author>
    <author>heatherg</author>
  </authors>
  <commentList>
    <comment ref="M2" authorId="0">
      <text>
        <r>
          <rPr>
            <b/>
            <sz val="8"/>
            <color indexed="81"/>
            <rFont val="Tahoma"/>
            <family val="2"/>
          </rPr>
          <t>WCNX:</t>
        </r>
        <r>
          <rPr>
            <sz val="8"/>
            <color indexed="81"/>
            <rFont val="Tahoma"/>
            <family val="2"/>
          </rPr>
          <t xml:space="preserve">
Linked to Rate sheet.</t>
        </r>
      </text>
    </comment>
    <comment ref="O66" authorId="0">
      <text>
        <r>
          <rPr>
            <b/>
            <sz val="8"/>
            <color indexed="81"/>
            <rFont val="Tahoma"/>
            <family val="2"/>
          </rPr>
          <t>WCNX:</t>
        </r>
        <r>
          <rPr>
            <sz val="8"/>
            <color indexed="81"/>
            <rFont val="Tahoma"/>
            <family val="2"/>
          </rPr>
          <t xml:space="preserve">
Had to fix formula to properly calculate revenue.</t>
        </r>
      </text>
    </comment>
    <comment ref="G107" authorId="1">
      <text>
        <r>
          <rPr>
            <b/>
            <sz val="9"/>
            <color indexed="81"/>
            <rFont val="Tahoma"/>
            <family val="2"/>
          </rPr>
          <t>Mike Young:</t>
        </r>
        <r>
          <rPr>
            <sz val="9"/>
            <color indexed="81"/>
            <rFont val="Tahoma"/>
            <family val="2"/>
          </rPr>
          <t xml:space="preserve">
used same formula as company, which was used in TG-111688</t>
        </r>
      </text>
    </comment>
    <comment ref="G125" authorId="1">
      <text>
        <r>
          <rPr>
            <b/>
            <sz val="9"/>
            <color indexed="81"/>
            <rFont val="Tahoma"/>
            <family val="2"/>
          </rPr>
          <t>Mike Young:</t>
        </r>
        <r>
          <rPr>
            <sz val="9"/>
            <color indexed="81"/>
            <rFont val="Tahoma"/>
            <family val="2"/>
          </rPr>
          <t xml:space="preserve">
used same weight as company, from previous rate case</t>
        </r>
      </text>
    </comment>
    <comment ref="M125" authorId="1">
      <text>
        <r>
          <rPr>
            <b/>
            <sz val="9"/>
            <color indexed="81"/>
            <rFont val="Tahoma"/>
            <family val="2"/>
          </rPr>
          <t>Mike Young:</t>
        </r>
        <r>
          <rPr>
            <sz val="9"/>
            <color indexed="81"/>
            <rFont val="Tahoma"/>
            <family val="2"/>
          </rPr>
          <t xml:space="preserve">
Rates for these lines of service not spelled out in tariff. Used same rate as company</t>
        </r>
      </text>
    </comment>
    <comment ref="M126" authorId="1">
      <text>
        <r>
          <rPr>
            <b/>
            <sz val="9"/>
            <color indexed="81"/>
            <rFont val="Tahoma"/>
            <family val="2"/>
          </rPr>
          <t>Mike Young:</t>
        </r>
        <r>
          <rPr>
            <sz val="9"/>
            <color indexed="81"/>
            <rFont val="Tahoma"/>
            <family val="2"/>
          </rPr>
          <t xml:space="preserve">
Rates for these lines of service not spelled out in tariff. Used same rate as company</t>
        </r>
      </text>
    </comment>
    <comment ref="C174" authorId="1">
      <text>
        <r>
          <rPr>
            <b/>
            <sz val="9"/>
            <color indexed="81"/>
            <rFont val="Tahoma"/>
            <family val="2"/>
          </rPr>
          <t>Mike Young:</t>
        </r>
        <r>
          <rPr>
            <sz val="9"/>
            <color indexed="81"/>
            <rFont val="Tahoma"/>
            <family val="2"/>
          </rPr>
          <t xml:space="preserve">
no specified rate in tariff; company calculates.</t>
        </r>
      </text>
    </comment>
    <comment ref="M174" authorId="1">
      <text>
        <r>
          <rPr>
            <b/>
            <sz val="9"/>
            <color indexed="81"/>
            <rFont val="Tahoma"/>
            <family val="2"/>
          </rPr>
          <t>Mike Young:</t>
        </r>
        <r>
          <rPr>
            <sz val="9"/>
            <color indexed="81"/>
            <rFont val="Tahoma"/>
            <family val="2"/>
          </rPr>
          <t xml:space="preserve">
per company worksheet; not specific in tariff</t>
        </r>
      </text>
    </comment>
    <comment ref="Q184" authorId="2">
      <text>
        <r>
          <rPr>
            <b/>
            <sz val="9"/>
            <color indexed="81"/>
            <rFont val="Tahoma"/>
            <family val="2"/>
          </rPr>
          <t>heatherg:</t>
        </r>
        <r>
          <rPr>
            <sz val="9"/>
            <color indexed="81"/>
            <rFont val="Tahoma"/>
            <family val="2"/>
          </rPr>
          <t xml:space="preserve">
Immaterial difference due to rounding.  DF calculation is an estimate as true tons and can weights will vary from year to year, therefore this is acceptable.</t>
        </r>
      </text>
    </comment>
    <comment ref="G187" authorId="1">
      <text>
        <r>
          <rPr>
            <b/>
            <sz val="9"/>
            <color indexed="81"/>
            <rFont val="Tahoma"/>
            <family val="2"/>
          </rPr>
          <t>Mike Young:</t>
        </r>
        <r>
          <rPr>
            <sz val="9"/>
            <color indexed="81"/>
            <rFont val="Tahoma"/>
            <family val="2"/>
          </rPr>
          <t xml:space="preserve">
company used 34 lbs but no customers at that service level.</t>
        </r>
      </text>
    </comment>
    <comment ref="M187" authorId="1">
      <text>
        <r>
          <rPr>
            <b/>
            <sz val="9"/>
            <color indexed="81"/>
            <rFont val="Tahoma"/>
            <family val="2"/>
          </rPr>
          <t>Mike Young:</t>
        </r>
        <r>
          <rPr>
            <sz val="9"/>
            <color indexed="81"/>
            <rFont val="Tahoma"/>
            <family val="2"/>
          </rPr>
          <t xml:space="preserve">
$10.36 for extra 95 gallon</t>
        </r>
      </text>
    </comment>
    <comment ref="L188" authorId="0">
      <text>
        <r>
          <rPr>
            <b/>
            <sz val="8"/>
            <color indexed="81"/>
            <rFont val="Tahoma"/>
            <family val="2"/>
          </rPr>
          <t>WCNX:</t>
        </r>
        <r>
          <rPr>
            <sz val="8"/>
            <color indexed="81"/>
            <rFont val="Tahoma"/>
            <family val="2"/>
          </rPr>
          <t xml:space="preserve">
Converted to a per pick-up increase because that's how it's stated in the tariff.</t>
        </r>
      </text>
    </comment>
    <comment ref="O188" authorId="0">
      <text>
        <r>
          <rPr>
            <b/>
            <sz val="8"/>
            <color indexed="81"/>
            <rFont val="Tahoma"/>
            <family val="2"/>
          </rPr>
          <t>WCNX:</t>
        </r>
        <r>
          <rPr>
            <sz val="8"/>
            <color indexed="81"/>
            <rFont val="Tahoma"/>
            <family val="2"/>
          </rPr>
          <t xml:space="preserve">
Had to fix formulas to properly calculate revenue.</t>
        </r>
      </text>
    </comment>
    <comment ref="P188" authorId="0">
      <text>
        <r>
          <rPr>
            <b/>
            <sz val="8"/>
            <color indexed="81"/>
            <rFont val="Tahoma"/>
            <family val="2"/>
          </rPr>
          <t>WCNX:</t>
        </r>
        <r>
          <rPr>
            <sz val="8"/>
            <color indexed="81"/>
            <rFont val="Tahoma"/>
            <family val="2"/>
          </rPr>
          <t xml:space="preserve">
Had to fix formulas to properly calculate revenue.</t>
        </r>
      </text>
    </comment>
    <comment ref="L194" authorId="0">
      <text>
        <r>
          <rPr>
            <b/>
            <sz val="8"/>
            <color indexed="81"/>
            <rFont val="Tahoma"/>
            <family val="2"/>
          </rPr>
          <t>WCNX:</t>
        </r>
        <r>
          <rPr>
            <sz val="8"/>
            <color indexed="81"/>
            <rFont val="Tahoma"/>
            <family val="2"/>
          </rPr>
          <t xml:space="preserve">
Fixed to calculate per pick-up increase as that's how it's listed in the tariff.</t>
        </r>
      </text>
    </comment>
    <comment ref="L195" authorId="0">
      <text>
        <r>
          <rPr>
            <b/>
            <sz val="8"/>
            <color indexed="81"/>
            <rFont val="Tahoma"/>
            <family val="2"/>
          </rPr>
          <t>WCNX:</t>
        </r>
        <r>
          <rPr>
            <sz val="8"/>
            <color indexed="81"/>
            <rFont val="Tahoma"/>
            <family val="2"/>
          </rPr>
          <t xml:space="preserve">
Fixed to calculate per pick-up increase as that's how it's listed in the tariff.</t>
        </r>
      </text>
    </comment>
    <comment ref="L199" authorId="1">
      <text>
        <r>
          <rPr>
            <b/>
            <sz val="9"/>
            <color indexed="81"/>
            <rFont val="Tahoma"/>
            <family val="2"/>
          </rPr>
          <t>Mike Young:</t>
        </r>
        <r>
          <rPr>
            <sz val="9"/>
            <color indexed="81"/>
            <rFont val="Tahoma"/>
            <family val="2"/>
          </rPr>
          <t xml:space="preserve">
these serve as check figures for the formula</t>
        </r>
      </text>
    </comment>
  </commentList>
</comments>
</file>

<file path=xl/comments2.xml><?xml version="1.0" encoding="utf-8"?>
<comments xmlns="http://schemas.openxmlformats.org/spreadsheetml/2006/main">
  <authors>
    <author>WCNX</author>
  </authors>
  <commentList>
    <comment ref="H209" authorId="0">
      <text>
        <r>
          <rPr>
            <b/>
            <sz val="8"/>
            <color indexed="81"/>
            <rFont val="Tahoma"/>
            <family val="2"/>
          </rPr>
          <t>WCNX:</t>
        </r>
        <r>
          <rPr>
            <sz val="8"/>
            <color indexed="81"/>
            <rFont val="Tahoma"/>
            <family val="2"/>
          </rPr>
          <t xml:space="preserve">
No Customer Count, used .00001 to calc increase.  No affect on tonnage or overall revenue increase.</t>
        </r>
      </text>
    </comment>
  </commentList>
</comments>
</file>

<file path=xl/comments3.xml><?xml version="1.0" encoding="utf-8"?>
<comments xmlns="http://schemas.openxmlformats.org/spreadsheetml/2006/main">
  <authors>
    <author>Donivan Taylor</author>
  </authors>
  <commentList>
    <comment ref="J27" authorId="0">
      <text>
        <r>
          <rPr>
            <b/>
            <sz val="8"/>
            <color indexed="81"/>
            <rFont val="Tahoma"/>
            <family val="2"/>
          </rPr>
          <t>Donivan Taylor:</t>
        </r>
        <r>
          <rPr>
            <sz val="8"/>
            <color indexed="81"/>
            <rFont val="Tahoma"/>
            <family val="2"/>
          </rPr>
          <t xml:space="preserve">
Adjusted for entry error. See comment below in reconcilations section.
</t>
        </r>
      </text>
    </comment>
    <comment ref="J77" authorId="0">
      <text>
        <r>
          <rPr>
            <b/>
            <sz val="8"/>
            <color indexed="81"/>
            <rFont val="Tahoma"/>
            <family val="2"/>
          </rPr>
          <t>Donivan Taylor:</t>
        </r>
        <r>
          <rPr>
            <sz val="8"/>
            <color indexed="81"/>
            <rFont val="Tahoma"/>
            <family val="2"/>
          </rPr>
          <t xml:space="preserve">
Adjusted for entry error. See comment below in reconcilations section.
</t>
        </r>
      </text>
    </comment>
    <comment ref="J98" authorId="0">
      <text>
        <r>
          <rPr>
            <b/>
            <sz val="8"/>
            <color indexed="81"/>
            <rFont val="Tahoma"/>
            <family val="2"/>
          </rPr>
          <t>Donivan Taylor:</t>
        </r>
        <r>
          <rPr>
            <sz val="8"/>
            <color indexed="81"/>
            <rFont val="Tahoma"/>
            <family val="2"/>
          </rPr>
          <t xml:space="preserve">
Adjusted for entry error. See comment below in reconcilations section.
</t>
        </r>
      </text>
    </comment>
    <comment ref="J106" authorId="0">
      <text>
        <r>
          <rPr>
            <b/>
            <sz val="8"/>
            <color indexed="81"/>
            <rFont val="Tahoma"/>
            <family val="2"/>
          </rPr>
          <t>Donivan Taylor:</t>
        </r>
        <r>
          <rPr>
            <sz val="8"/>
            <color indexed="81"/>
            <rFont val="Tahoma"/>
            <family val="2"/>
          </rPr>
          <t xml:space="preserve">
Booked Allocation Entry backwords
</t>
        </r>
      </text>
    </comment>
  </commentList>
</comments>
</file>

<file path=xl/sharedStrings.xml><?xml version="1.0" encoding="utf-8"?>
<sst xmlns="http://schemas.openxmlformats.org/spreadsheetml/2006/main" count="897" uniqueCount="665">
  <si>
    <t>Pierce County Regulated</t>
  </si>
  <si>
    <t>Revenue Price Out by Service Level and Line of Business</t>
  </si>
  <si>
    <t>July 1, 2010 - June 30, 2010</t>
  </si>
  <si>
    <t>Service Code</t>
  </si>
  <si>
    <t>Service Code Description</t>
  </si>
  <si>
    <t>Tariff Rate Effective 3/1/2010</t>
  </si>
  <si>
    <t>Tariff Rate Effective 3/1/2011</t>
  </si>
  <si>
    <t xml:space="preserve">Rate per Pickup </t>
  </si>
  <si>
    <t>Revenue 7/1/2010 - 2/28/2011</t>
  </si>
  <si>
    <t>Revenue 3/1/2011 - 6/30/2011</t>
  </si>
  <si>
    <t>Calculated Annual Units</t>
  </si>
  <si>
    <t>Calculated Monthly Units</t>
  </si>
  <si>
    <t>RESIDENTIAL SERVICES</t>
  </si>
  <si>
    <t>RESIDENTIAL GARBAGE</t>
  </si>
  <si>
    <t>RL020.0G1W001</t>
  </si>
  <si>
    <t>20 GL 1X WK 1</t>
  </si>
  <si>
    <t>RL020.0G1W001NOREC</t>
  </si>
  <si>
    <t>20 GL 1X WK NO RECY 1</t>
  </si>
  <si>
    <t>RL032.0G1M001NOREC</t>
  </si>
  <si>
    <t>32 GL 1X MO NO RECY 1</t>
  </si>
  <si>
    <t>RL032.0G1M001WREC</t>
  </si>
  <si>
    <t>32 GL 1X MO W/RECY 1</t>
  </si>
  <si>
    <t>RL032.0G1W001NOREC</t>
  </si>
  <si>
    <t>32 GL 1X WK NO RECY 1</t>
  </si>
  <si>
    <t>RL032.0G1W001WREC</t>
  </si>
  <si>
    <t>32 GL 1X WK W/RECY 1</t>
  </si>
  <si>
    <t>RL032.0G1W002NOREC</t>
  </si>
  <si>
    <t>32 GL 1X WK NO RECY 2</t>
  </si>
  <si>
    <t>RL032.0G1W002WREC</t>
  </si>
  <si>
    <t>32 GL 1X WK W/RECY 2</t>
  </si>
  <si>
    <t>RL032.0G1W003NOREC</t>
  </si>
  <si>
    <t>32 GL 1X WK NO RECY 3</t>
  </si>
  <si>
    <t>RL032.0G1W003WREC</t>
  </si>
  <si>
    <t>32 GL 1X WK W/RECY 3</t>
  </si>
  <si>
    <t>RL032.0G1W004NOREC</t>
  </si>
  <si>
    <t>32 GL 1X WK NO RECY 4</t>
  </si>
  <si>
    <t>RL032.0G1W004WREC</t>
  </si>
  <si>
    <t>32 GL 1X WK W/RECY 4</t>
  </si>
  <si>
    <t>SL032.0G1W001WREC</t>
  </si>
  <si>
    <t>SL035.0G1W001WREC</t>
  </si>
  <si>
    <t>35 GL 1X WK W/ RECY 1</t>
  </si>
  <si>
    <t>SL035.0G1W002WREC</t>
  </si>
  <si>
    <t>35 GL 1X WK W/RECY 2</t>
  </si>
  <si>
    <t>SL065.0G1M001NOREC</t>
  </si>
  <si>
    <t>65 GL 1X MO NO RECY 1</t>
  </si>
  <si>
    <t>SL065.0G1M001WREC</t>
  </si>
  <si>
    <t>65 GL 1X MO W/RECY 1</t>
  </si>
  <si>
    <t>SL065.0G1W001NOREC</t>
  </si>
  <si>
    <t>65 GL 1X WK NO RECY 1</t>
  </si>
  <si>
    <t>SL065.0G1W001WREC</t>
  </si>
  <si>
    <t>65 GL 1X WK W/RECY 1</t>
  </si>
  <si>
    <t>SL065.0GEO001</t>
  </si>
  <si>
    <t>65 GL EOW 1</t>
  </si>
  <si>
    <t>SL065.0GEO001NOREC</t>
  </si>
  <si>
    <t>65 GL EOW NO RECY 1</t>
  </si>
  <si>
    <t>SL065.0GEO001WREC</t>
  </si>
  <si>
    <t>65 GL EOW W/RECY 1</t>
  </si>
  <si>
    <t>SL095.0G1M001NOREC</t>
  </si>
  <si>
    <t>95 GL 1X MO NO RECY 1</t>
  </si>
  <si>
    <t>SL095.0G1M001WREC</t>
  </si>
  <si>
    <t>95 GL 1X MO W/RECY 1</t>
  </si>
  <si>
    <t>SL095.0G1W001NOREC</t>
  </si>
  <si>
    <t>95 GL 1X WK NO RECY 1</t>
  </si>
  <si>
    <t>SL095.0G1W001WREC</t>
  </si>
  <si>
    <t>95 GL 1X WK W/RECY 1</t>
  </si>
  <si>
    <t>SL095.0GEO001</t>
  </si>
  <si>
    <t>95 GL EOW 1</t>
  </si>
  <si>
    <t>SL095.0GEO001NOREC</t>
  </si>
  <si>
    <t>95 GL EOW NO RECY 1</t>
  </si>
  <si>
    <t>SL095.0GEO001WREC</t>
  </si>
  <si>
    <t>95 GL EOW W/RECY 1</t>
  </si>
  <si>
    <t>BULKY-RES</t>
  </si>
  <si>
    <t>BULKY ITEM PICK UP - RES</t>
  </si>
  <si>
    <t>EP96GWC-RES</t>
  </si>
  <si>
    <t>EXTRA PICK UP 96 GW - RES</t>
  </si>
  <si>
    <t>EXTRA-RES</t>
  </si>
  <si>
    <t>EXTRA CAN, BAG, BOX - RES</t>
  </si>
  <si>
    <t>EXTRAYDG-RES</t>
  </si>
  <si>
    <t>EXTRA YARDAGE - RES</t>
  </si>
  <si>
    <t>OS-RES</t>
  </si>
  <si>
    <t>OVERSIZE CAN - RES</t>
  </si>
  <si>
    <t>OW-RES</t>
  </si>
  <si>
    <t>OVERFILL / OVERWEIGHT CAN</t>
  </si>
  <si>
    <t>SPCL32-RES</t>
  </si>
  <si>
    <t>SPECIAL 32 GL - RES</t>
  </si>
  <si>
    <t>SPCL65-RES</t>
  </si>
  <si>
    <t>SPECIAL 65 GL - RES</t>
  </si>
  <si>
    <t>SPCL95-RES</t>
  </si>
  <si>
    <t>SPECIAL 95 GL - RES</t>
  </si>
  <si>
    <t>SP65-RES</t>
  </si>
  <si>
    <t>SPECIAL PICK UP 65 GL - RES</t>
  </si>
  <si>
    <t>SP95-RES</t>
  </si>
  <si>
    <t>SPECIAL PICK UP 95 GL - R</t>
  </si>
  <si>
    <t>SPECIAL-RES</t>
  </si>
  <si>
    <t>SPECIAL SERVICE - RES</t>
  </si>
  <si>
    <t>SPREC-RES</t>
  </si>
  <si>
    <t>SPECIAL PICK UP RECYCLE - RES</t>
  </si>
  <si>
    <t>WI1-RES</t>
  </si>
  <si>
    <t>WALK IN 6-25' - RES</t>
  </si>
  <si>
    <t>WI2-RES</t>
  </si>
  <si>
    <t>WALK IN 26-50' - RES</t>
  </si>
  <si>
    <t>WI3-RES</t>
  </si>
  <si>
    <t>WALK IN 51-75' - RES</t>
  </si>
  <si>
    <t>WI4-RES</t>
  </si>
  <si>
    <t>WALK IN 76-100' - RES</t>
  </si>
  <si>
    <t>WI5-RES</t>
  </si>
  <si>
    <t>WALK IN 101-125' - RES</t>
  </si>
  <si>
    <t>WI9-RES</t>
  </si>
  <si>
    <t>WALK IN 201-225' - RES</t>
  </si>
  <si>
    <t>DRIVEIN2-RES</t>
  </si>
  <si>
    <t>DRIVE IN 2 - RES</t>
  </si>
  <si>
    <t>DRIVEIN-RES</t>
  </si>
  <si>
    <t>DRIVE IN SERVICE - RES</t>
  </si>
  <si>
    <t>ACCESS-RES</t>
  </si>
  <si>
    <t>ACCESS FEE - RES</t>
  </si>
  <si>
    <t>APPLIANCER</t>
  </si>
  <si>
    <t>APPLIANCE REMOVAL - RES</t>
  </si>
  <si>
    <t>PDBAG-RES</t>
  </si>
  <si>
    <t>PREPAID BAG - RES</t>
  </si>
  <si>
    <t>LCKR</t>
  </si>
  <si>
    <t>LOCK CHARGE - RES</t>
  </si>
  <si>
    <t>OC-RES</t>
  </si>
  <si>
    <t>ON CALL SERVICE - RES</t>
  </si>
  <si>
    <t>REDEL-RES</t>
  </si>
  <si>
    <t>REDELIVER FEE - RES</t>
  </si>
  <si>
    <t>REINSTATE-RES</t>
  </si>
  <si>
    <t>REINSTATE FEE - RES</t>
  </si>
  <si>
    <t>RTRNCART65-RES</t>
  </si>
  <si>
    <t>RETURN TRIP 65 GL - RES</t>
  </si>
  <si>
    <t>RTRNCART95-RES</t>
  </si>
  <si>
    <t>RETURN TRIP 95 GL - RES</t>
  </si>
  <si>
    <t>RTRNTRIP-RES</t>
  </si>
  <si>
    <t>RETURN TRIP FEE - RES</t>
  </si>
  <si>
    <t>TIME-RES</t>
  </si>
  <si>
    <t>TIME FEE 1 - RES</t>
  </si>
  <si>
    <t>UNRETURN-RES</t>
  </si>
  <si>
    <t>CONTAINER UNRETURNED FEE</t>
  </si>
  <si>
    <t>TOTAL RESIDENTIAL GARBAGE</t>
  </si>
  <si>
    <t xml:space="preserve">COMMERCIAL SERVICES </t>
  </si>
  <si>
    <t>COMMERCIAL GARBAGE</t>
  </si>
  <si>
    <t>FL001.0Y1W001</t>
  </si>
  <si>
    <t>1 YD 1X WK 1</t>
  </si>
  <si>
    <t>FL001.0Y2W001</t>
  </si>
  <si>
    <t>1 YD 2X WK 1</t>
  </si>
  <si>
    <t>FL001.0Y3W001</t>
  </si>
  <si>
    <t>1 YD 3X WK 1</t>
  </si>
  <si>
    <t>FL001.5Y1W001</t>
  </si>
  <si>
    <t>1.5 YD 1X WK 1</t>
  </si>
  <si>
    <t>FL001.5Y2W001</t>
  </si>
  <si>
    <t>1.5 YD 2X WK 1</t>
  </si>
  <si>
    <t>FL001.5Y3W001</t>
  </si>
  <si>
    <t>1.5 YD 3X WK 1</t>
  </si>
  <si>
    <t>FL002.0Y1W001</t>
  </si>
  <si>
    <t>2 YD 1X WK 1</t>
  </si>
  <si>
    <t>FL002.0Y2W001</t>
  </si>
  <si>
    <t>2 YD 2X WK 1</t>
  </si>
  <si>
    <t>FL002.0Y3W001</t>
  </si>
  <si>
    <t>2 YD 3X WK 1</t>
  </si>
  <si>
    <t>FL003.0Y1W001</t>
  </si>
  <si>
    <t>3 YD 1X WK 1</t>
  </si>
  <si>
    <t>FL003.0Y2W001</t>
  </si>
  <si>
    <t>3 YD 2X WK 1</t>
  </si>
  <si>
    <t>FL003.0Y3W001</t>
  </si>
  <si>
    <t>3 YD 3X WK 1</t>
  </si>
  <si>
    <t>FL003.0Y5W001</t>
  </si>
  <si>
    <t>3 YD 5X WK 1</t>
  </si>
  <si>
    <t>FL004.0Y1W001</t>
  </si>
  <si>
    <t>4 YD 1X WK 1</t>
  </si>
  <si>
    <t>FL004.0Y2W001</t>
  </si>
  <si>
    <t>4 YD 2X WK 1</t>
  </si>
  <si>
    <t>FL004.0Y3W001</t>
  </si>
  <si>
    <t>4 YD 3X WK 1</t>
  </si>
  <si>
    <t>FL006.0Y1W001</t>
  </si>
  <si>
    <t>6 YD 1X WK 1</t>
  </si>
  <si>
    <t>FL006.0Y1W002</t>
  </si>
  <si>
    <t>6 YD 1X WK 2</t>
  </si>
  <si>
    <t>FL006.0Y2W001</t>
  </si>
  <si>
    <t>6 YD 2X WK 1</t>
  </si>
  <si>
    <t>FL006.0Y3W001</t>
  </si>
  <si>
    <t>6 YD 3X WK 1</t>
  </si>
  <si>
    <t>FL006.0Y4W001</t>
  </si>
  <si>
    <t>6 YD 4X WK 1</t>
  </si>
  <si>
    <t>FL006.0Y5W001</t>
  </si>
  <si>
    <t>6 YD 5X WK 1</t>
  </si>
  <si>
    <t>FL002.0Y1W001CMP</t>
  </si>
  <si>
    <t>2 YD 1X WK COMP 1</t>
  </si>
  <si>
    <t>FL003.0Y2W001CMP</t>
  </si>
  <si>
    <t>3 YD 2X WK COMP 1</t>
  </si>
  <si>
    <t>FL004.0Y1W001CMP</t>
  </si>
  <si>
    <t>4 YD 1X WK COMP 1</t>
  </si>
  <si>
    <t>FL004.0Y2W001CMP</t>
  </si>
  <si>
    <t>4 YD 2X WK COMP 1</t>
  </si>
  <si>
    <t>FL001.0YXX001TEMPC</t>
  </si>
  <si>
    <t>1 YD TEMP</t>
  </si>
  <si>
    <t>FL001.5YXX001TEMPC</t>
  </si>
  <si>
    <t>1.5 YD TEMP</t>
  </si>
  <si>
    <t>FL002.0YXX001TEMPC</t>
  </si>
  <si>
    <t>2 YD TEMP</t>
  </si>
  <si>
    <t>FL003.0YXX001TEMPC</t>
  </si>
  <si>
    <t>3 YD TEMP</t>
  </si>
  <si>
    <t>FL004.0YXX001TEMPC</t>
  </si>
  <si>
    <t>4 YD TEMP 1</t>
  </si>
  <si>
    <t>FL006.0YXX001TEMPC</t>
  </si>
  <si>
    <t>6 YD TEMP 1</t>
  </si>
  <si>
    <t>RENT1.5TEMP-COMM</t>
  </si>
  <si>
    <t>RENT 1.5 YD TEMP - COMM</t>
  </si>
  <si>
    <t>RENT1TEMP-COMM</t>
  </si>
  <si>
    <t>RENT 1 YD TEMP - COMM</t>
  </si>
  <si>
    <t>RENT2TEMP-COMM</t>
  </si>
  <si>
    <t>RENT 2 YD TEMP - COMM</t>
  </si>
  <si>
    <t>RENT3TEMP-COMM</t>
  </si>
  <si>
    <t>RENT 3 YD TEMP - COMM</t>
  </si>
  <si>
    <t>RENT4TEMP-COMM</t>
  </si>
  <si>
    <t>RENT 4 YD TEMP - COMM</t>
  </si>
  <si>
    <t>RENT6TEMP-COMM</t>
  </si>
  <si>
    <t>RENT 6 YD TEMP - COMM</t>
  </si>
  <si>
    <t>RL020.0G1W001COMM</t>
  </si>
  <si>
    <t>20 GL 1X WK COMM 1</t>
  </si>
  <si>
    <t>RL032.0G1W001NORECC</t>
  </si>
  <si>
    <t>32 GL 1X WK NO RECY COMM</t>
  </si>
  <si>
    <t>RL032.0G1W001WRECC</t>
  </si>
  <si>
    <t>32 GL 1X WK W/RECY COMM 1</t>
  </si>
  <si>
    <t>RL032.0G1W002NORECC</t>
  </si>
  <si>
    <t>RL032.0G1W002WRECC</t>
  </si>
  <si>
    <t>32 GL 1X WK W/RECY COMM 2</t>
  </si>
  <si>
    <t>RL032.0G1W003NORECC</t>
  </si>
  <si>
    <t>RL032.0G1W003WRECC</t>
  </si>
  <si>
    <t>32 GL 1X WK W/RECY COMM 3</t>
  </si>
  <si>
    <t>RL032.0G1W004WRECC</t>
  </si>
  <si>
    <t>32 GL 1X WK W/RECY COMM 4</t>
  </si>
  <si>
    <t>RL032.0G1W005WRECC</t>
  </si>
  <si>
    <t>32 GL 1X WK W/RECY COMM 5</t>
  </si>
  <si>
    <t>SL065.0G1W001NORECC</t>
  </si>
  <si>
    <t>65 GL 1X WK NO RECY COMM</t>
  </si>
  <si>
    <t>SL065.0G1W001WRECC</t>
  </si>
  <si>
    <t>65 GL 1X WK W/RECY COMM 1</t>
  </si>
  <si>
    <t>SL065.0G1W002NORECC</t>
  </si>
  <si>
    <t>65 GL 1X WK NO REC COMM 2</t>
  </si>
  <si>
    <t>SL065.0GEO001NORECC</t>
  </si>
  <si>
    <t>65 GL EOW NO RECY COMM 1</t>
  </si>
  <si>
    <t>SL065.0GEO001WRECC</t>
  </si>
  <si>
    <t>65 GL EOW W/RECY COMM 1</t>
  </si>
  <si>
    <t>SL095.0G1W001NORECC</t>
  </si>
  <si>
    <t>95 GL 1X WK NO RECY COMM</t>
  </si>
  <si>
    <t>SL095.0G1W001WRECC</t>
  </si>
  <si>
    <t>95 GL 1X WK W/RECY COMM 1</t>
  </si>
  <si>
    <t>SL095.0GEO001NORECC</t>
  </si>
  <si>
    <t>95 GL EOW NO RECY COMM 1</t>
  </si>
  <si>
    <t>SL095.0GEO001WRECC</t>
  </si>
  <si>
    <t>95 GL EOW W/RECY COMM 1</t>
  </si>
  <si>
    <t>CANCOUNT65-COMM</t>
  </si>
  <si>
    <t>CAN COUNT 65 GL - COMM</t>
  </si>
  <si>
    <t>CANCOUNT95-COMM</t>
  </si>
  <si>
    <t>CAN COUNT 95 GL - COMM</t>
  </si>
  <si>
    <t>CANCOUNT-COMM</t>
  </si>
  <si>
    <t>CAN COUNT - COMM</t>
  </si>
  <si>
    <t>DIST4CAN-COMM</t>
  </si>
  <si>
    <t>DISTRIBUTED 4 CANS - COMM</t>
  </si>
  <si>
    <t>DIST5CAN-COMM</t>
  </si>
  <si>
    <t>DISTRIBUTED 5 CANS - COMM</t>
  </si>
  <si>
    <t>ADD32GLCOMM</t>
  </si>
  <si>
    <t>ADDITIONAL 32 GL COMM</t>
  </si>
  <si>
    <t>BULKY-COMM</t>
  </si>
  <si>
    <t>BULKY ITEM PICK UP - COMM</t>
  </si>
  <si>
    <t>EP96GW-COMM</t>
  </si>
  <si>
    <t>EXTRA PICK UP 96 GW -COMM</t>
  </si>
  <si>
    <t>EXTRA-COMM</t>
  </si>
  <si>
    <t>EXTRA CAN, BAG, BOX - COM</t>
  </si>
  <si>
    <t>EXTRAGWC-COMM</t>
  </si>
  <si>
    <t>EXTRA GREENWASTE FEE - CO</t>
  </si>
  <si>
    <t>EXTRAYDG-COM</t>
  </si>
  <si>
    <t>EXTRA YARDAGE - COMM</t>
  </si>
  <si>
    <t>OC-COMM</t>
  </si>
  <si>
    <t>ON CALL SERVICE - COMM</t>
  </si>
  <si>
    <t>OFOWCONT-COMM</t>
  </si>
  <si>
    <t>OS-COMM</t>
  </si>
  <si>
    <t>OVERSIZE CAN - COMM</t>
  </si>
  <si>
    <t>ACCESS-COMM</t>
  </si>
  <si>
    <t>ACCESS FEE - COMM</t>
  </si>
  <si>
    <t>ACCESS-MF</t>
  </si>
  <si>
    <t>ACCESS FEE - MF</t>
  </si>
  <si>
    <t>APPLIANCEC</t>
  </si>
  <si>
    <t>APPLIANCE REMOVAL - COMM</t>
  </si>
  <si>
    <t>CLEAN-COMM</t>
  </si>
  <si>
    <t>CONTAINER CLEANING FEE - COMM</t>
  </si>
  <si>
    <t>DISP-COMM</t>
  </si>
  <si>
    <t>DISPOSAL FEE - COMM</t>
  </si>
  <si>
    <t>DRIVEIN1-COMM</t>
  </si>
  <si>
    <t>DRIVE IN 125-250' - COMM</t>
  </si>
  <si>
    <t>DRIVEIN-COMM</t>
  </si>
  <si>
    <t>DRIVE IN SERVICE - COMM</t>
  </si>
  <si>
    <t>EQUIP-COMM</t>
  </si>
  <si>
    <t>EQUIPMENT CHARGE - COMM</t>
  </si>
  <si>
    <t>ROLL-COMM</t>
  </si>
  <si>
    <t>ROLL OUT CHARGE - COMM</t>
  </si>
  <si>
    <t>WI1-COMM</t>
  </si>
  <si>
    <t>WALK IN 6-25' - COMM</t>
  </si>
  <si>
    <t>WI2-COMM</t>
  </si>
  <si>
    <t>WALK IN 26-50' - COMM</t>
  </si>
  <si>
    <t>WI4-COMM</t>
  </si>
  <si>
    <t>WALK IN 76-100' - COMM</t>
  </si>
  <si>
    <t>WI5-COMM</t>
  </si>
  <si>
    <t>WALK IN 101-125' - COMM</t>
  </si>
  <si>
    <t>CLEAN1.5-COMM</t>
  </si>
  <si>
    <t>CLEANING FEE 1.5 YD - COM</t>
  </si>
  <si>
    <t>CLEAN1-COMM</t>
  </si>
  <si>
    <t>CLEANING FEE 1 YD - COMM</t>
  </si>
  <si>
    <t>CLEAN2-COMM</t>
  </si>
  <si>
    <t>CLEANING FEE 2 YD - COMM</t>
  </si>
  <si>
    <t>CLEAN3-COMM</t>
  </si>
  <si>
    <t>CLEANING FEE 3 YD - COMM</t>
  </si>
  <si>
    <t>CLEAN4-COMM</t>
  </si>
  <si>
    <t>CLEANING FEE 4 YD - COMM</t>
  </si>
  <si>
    <t>CLEAN6-COMM</t>
  </si>
  <si>
    <t>CLEANING FEE 6 YD - COMM</t>
  </si>
  <si>
    <t>CONTAINER CLEANING FEE -</t>
  </si>
  <si>
    <t>DEL1.5TEMP-COMM</t>
  </si>
  <si>
    <t>DELIVERY FEE 1.5 YD TEMP</t>
  </si>
  <si>
    <t>DEL1TEMP-COMM</t>
  </si>
  <si>
    <t>DELIVERY FEE 1 YD TEMP -</t>
  </si>
  <si>
    <t>DEL2TEMP-COMM</t>
  </si>
  <si>
    <t>DELIVERY FEE 2 YD TEMP -</t>
  </si>
  <si>
    <t>DEL3TEMP-COMM</t>
  </si>
  <si>
    <t>DELIVERY FEE 3 YD TEMP - COMM</t>
  </si>
  <si>
    <t>DEL4TEMP-COMM</t>
  </si>
  <si>
    <t>DELIVERY FEE 4 YD TEMP - COMM</t>
  </si>
  <si>
    <t>DEL6TEMP-COMM</t>
  </si>
  <si>
    <t>DELIVERY FEE 6 YD TEMP -</t>
  </si>
  <si>
    <t>DEL-COMM</t>
  </si>
  <si>
    <t>DELIVERY FEE - COMM</t>
  </si>
  <si>
    <t>REINSTATE-COMM</t>
  </si>
  <si>
    <t>REINSTATE FEE - COMM</t>
  </si>
  <si>
    <t>RTRNCAN-COMM</t>
  </si>
  <si>
    <t>RETURN TRIP FEE CAN - COM</t>
  </si>
  <si>
    <t>RTRNCART65-COMM</t>
  </si>
  <si>
    <t>RETURN TRIP 65 GL - COMM</t>
  </si>
  <si>
    <t>RTRNCART95-COMM</t>
  </si>
  <si>
    <t>RETURN TRIP 95 GL - COMM</t>
  </si>
  <si>
    <t>RTRNTRIP-COMM</t>
  </si>
  <si>
    <t>RETURN TRIP FEE - COMM</t>
  </si>
  <si>
    <t>SP1.5-COMM</t>
  </si>
  <si>
    <t>SPECIAL PICK UP 1.5 YD -</t>
  </si>
  <si>
    <t>SP1-COMM</t>
  </si>
  <si>
    <t>SPECIAL PICK UP 1 YD - CO</t>
  </si>
  <si>
    <t>SP2-COMM</t>
  </si>
  <si>
    <t>SPECIAL PICK UP 2 YD - CO</t>
  </si>
  <si>
    <t>SP3-COMM</t>
  </si>
  <si>
    <t>SPECIAL PICK UP 3 YD - CO</t>
  </si>
  <si>
    <t>SP4-COMM</t>
  </si>
  <si>
    <t>SPECIAL PICK UP 4 YD - CO</t>
  </si>
  <si>
    <t>SP6-COMM</t>
  </si>
  <si>
    <t>SPECIAL PICK UP 6 YD - CO</t>
  </si>
  <si>
    <t>SPCL65-COMM</t>
  </si>
  <si>
    <t>SPECIAL 65 GL - COMM</t>
  </si>
  <si>
    <t>SPCL95-COMM</t>
  </si>
  <si>
    <t>SPECIAL 95 GL - COMM</t>
  </si>
  <si>
    <t>SPCLREC-COMM</t>
  </si>
  <si>
    <t>SPECIAL RECYCLE - COMM</t>
  </si>
  <si>
    <t>TIME-COMM</t>
  </si>
  <si>
    <t>TIME FEE 1 - COMM</t>
  </si>
  <si>
    <t>UNRETURN-COMM</t>
  </si>
  <si>
    <t>GWCOMM</t>
  </si>
  <si>
    <t>GREENWASTE SERVICE - COMM</t>
  </si>
  <si>
    <t>LCKC</t>
  </si>
  <si>
    <t>LOCK CHARGE - COMM</t>
  </si>
  <si>
    <t>REDEL-COMM</t>
  </si>
  <si>
    <t>REDELIVER FEE LVL 1 - COM</t>
  </si>
  <si>
    <t>TOTAL COMMERCIAL GARBAGE</t>
  </si>
  <si>
    <t>Total</t>
  </si>
  <si>
    <t>Pierce County Refuse - Disposal Schedule</t>
  </si>
  <si>
    <t>2180 - Regulated</t>
  </si>
  <si>
    <t>Dump Fee Expense</t>
  </si>
  <si>
    <t>Rate per Ton</t>
  </si>
  <si>
    <t>Total Tons</t>
  </si>
  <si>
    <t>Pass Thru</t>
  </si>
  <si>
    <t>Total Pass Thru Tons</t>
  </si>
  <si>
    <t>Route Garbage</t>
  </si>
  <si>
    <t>Route Tons</t>
  </si>
  <si>
    <t>Non-Regulated 2181</t>
  </si>
  <si>
    <t>Rate p/Ton - City Contr</t>
  </si>
  <si>
    <t>Rate p/Ton - Base Contr</t>
  </si>
  <si>
    <t>Rate per Ton-Fluff</t>
  </si>
  <si>
    <t>Pass Thru Expense</t>
  </si>
  <si>
    <t>Pass Thru-City Contr</t>
  </si>
  <si>
    <t>Pass Thru Tons-City Contr</t>
  </si>
  <si>
    <t xml:space="preserve">Pass Thru-Base </t>
  </si>
  <si>
    <t>Pass Thru Tons-Base</t>
  </si>
  <si>
    <t>Pass Thru-Fluff</t>
  </si>
  <si>
    <t>Pass Thru Tons-Fluff</t>
  </si>
  <si>
    <t>Total Pass Thru Expense</t>
  </si>
  <si>
    <t>Routes-City Cont</t>
  </si>
  <si>
    <t>Route Tons-City Contr</t>
  </si>
  <si>
    <t>Routes-Base Contr</t>
  </si>
  <si>
    <t>Route Tons-Base Contr</t>
  </si>
  <si>
    <t>Check</t>
  </si>
  <si>
    <t>Lakewood Transfer Station Tons:</t>
  </si>
  <si>
    <t>Tons:</t>
  </si>
  <si>
    <t>Regulated</t>
  </si>
  <si>
    <t>Non-Reg</t>
  </si>
  <si>
    <t>Base</t>
  </si>
  <si>
    <t>2010-2011</t>
  </si>
  <si>
    <t>Tons</t>
  </si>
  <si>
    <t>July</t>
  </si>
  <si>
    <t>August</t>
  </si>
  <si>
    <t>September</t>
  </si>
  <si>
    <t>October</t>
  </si>
  <si>
    <t>November</t>
  </si>
  <si>
    <t>December</t>
  </si>
  <si>
    <t>January</t>
  </si>
  <si>
    <t>February</t>
  </si>
  <si>
    <t>March</t>
  </si>
  <si>
    <t>April</t>
  </si>
  <si>
    <t>May</t>
  </si>
  <si>
    <t>June</t>
  </si>
  <si>
    <t>Rt Hours</t>
  </si>
  <si>
    <t>TFS Haul</t>
  </si>
  <si>
    <t>Hours</t>
  </si>
  <si>
    <t>Packer Tons</t>
  </si>
  <si>
    <t>RO Tons</t>
  </si>
  <si>
    <t>Monthly Frequency</t>
  </si>
  <si>
    <t>Annual PU's</t>
  </si>
  <si>
    <t>Meek's Weights</t>
  </si>
  <si>
    <t>Calculated Annual Lbs</t>
  </si>
  <si>
    <t>Adjusted Annual Lbs</t>
  </si>
  <si>
    <t>Convert to Lbs</t>
  </si>
  <si>
    <t>Rate per Ton Effect. 3/1/2013</t>
  </si>
  <si>
    <t>TOTAL</t>
  </si>
  <si>
    <t>Actual Lbs</t>
  </si>
  <si>
    <t>Rate per Ton Effect. 3/1/2014</t>
  </si>
  <si>
    <t>Increase per Ton</t>
  </si>
  <si>
    <t>B&amp;O Tax</t>
  </si>
  <si>
    <t>WUTC Fee</t>
  </si>
  <si>
    <t>Factor</t>
  </si>
  <si>
    <t>RO Increase</t>
  </si>
  <si>
    <t>Grossed-Up For Taxes</t>
  </si>
  <si>
    <t>Resi/Comm Increase</t>
  </si>
  <si>
    <t>3/1/2014 Increase</t>
  </si>
  <si>
    <t>Gross-Up</t>
  </si>
  <si>
    <t>Rate Increase (per P/U)</t>
  </si>
  <si>
    <t>dba Pierce County Refuse</t>
  </si>
  <si>
    <t>Harold LeMay Enterprises, Inc., G-98</t>
  </si>
  <si>
    <t>Increase</t>
  </si>
  <si>
    <t>Prepaid Bag</t>
  </si>
  <si>
    <t>1 yard</t>
  </si>
  <si>
    <t>1.5 yard</t>
  </si>
  <si>
    <t>2 yard</t>
  </si>
  <si>
    <t>4 yard</t>
  </si>
  <si>
    <t>6 yard</t>
  </si>
  <si>
    <t xml:space="preserve"> </t>
  </si>
  <si>
    <t>Rate</t>
  </si>
  <si>
    <t>Current</t>
  </si>
  <si>
    <t>Proposed</t>
  </si>
  <si>
    <t xml:space="preserve">New </t>
  </si>
  <si>
    <t>Item 55, Pg 16</t>
  </si>
  <si>
    <t>Over size</t>
  </si>
  <si>
    <t>WG-R</t>
  </si>
  <si>
    <t>Item 100, pg 21</t>
  </si>
  <si>
    <t xml:space="preserve">Mini can </t>
  </si>
  <si>
    <t>Mini can</t>
  </si>
  <si>
    <t>WG-NR</t>
  </si>
  <si>
    <t>One can</t>
  </si>
  <si>
    <t>Two cans</t>
  </si>
  <si>
    <t>Three cans</t>
  </si>
  <si>
    <t>Four cans</t>
  </si>
  <si>
    <t>Five cans</t>
  </si>
  <si>
    <t>Six cans</t>
  </si>
  <si>
    <t>35 Gal</t>
  </si>
  <si>
    <t>EOWG-R</t>
  </si>
  <si>
    <t>EOWG-NR</t>
  </si>
  <si>
    <t>MG-R</t>
  </si>
  <si>
    <t>MG-NR</t>
  </si>
  <si>
    <t>65 Gal</t>
  </si>
  <si>
    <t>95 Gal</t>
  </si>
  <si>
    <t>Item 100, pg 22</t>
  </si>
  <si>
    <t>Extra Units</t>
  </si>
  <si>
    <t>Each</t>
  </si>
  <si>
    <t>On Call</t>
  </si>
  <si>
    <t>WG</t>
  </si>
  <si>
    <t>First PU</t>
  </si>
  <si>
    <t>Each Add'l</t>
  </si>
  <si>
    <t>3 yard</t>
  </si>
  <si>
    <t>8 yard</t>
  </si>
  <si>
    <t>Special Pickups</t>
  </si>
  <si>
    <t>Temporary Service</t>
  </si>
  <si>
    <t>Item 150, pg 26</t>
  </si>
  <si>
    <t>Bulky</t>
  </si>
  <si>
    <t>Loose material</t>
  </si>
  <si>
    <t>Additional</t>
  </si>
  <si>
    <t>Minimum</t>
  </si>
  <si>
    <t>Item 207, pg 30</t>
  </si>
  <si>
    <t>Garbage</t>
  </si>
  <si>
    <t>Lbs</t>
  </si>
  <si>
    <t>Item 230, pg 32</t>
  </si>
  <si>
    <t>Ton</t>
  </si>
  <si>
    <t>Joint Base Lewis-McChord</t>
  </si>
  <si>
    <t>Item 240, pg 33</t>
  </si>
  <si>
    <t>Item 245, pg 34</t>
  </si>
  <si>
    <t>32 gal, first five grouped</t>
  </si>
  <si>
    <t>32 gal, over five grouped</t>
  </si>
  <si>
    <t>32 gal, single not grouped</t>
  </si>
  <si>
    <t>Minimum monthly charge</t>
  </si>
  <si>
    <t>32 gal</t>
  </si>
  <si>
    <t>First Can</t>
  </si>
  <si>
    <t>65 gal</t>
  </si>
  <si>
    <t>65 gal minimum</t>
  </si>
  <si>
    <t>95 gal</t>
  </si>
  <si>
    <t>95 gal minimum</t>
  </si>
  <si>
    <t>Item 255, pg 35  2.75:1 compaction</t>
  </si>
  <si>
    <t xml:space="preserve">Note: For a  disposal increase a compactor is calculated using the increase for </t>
  </si>
  <si>
    <t>the container size times the compaction ratio.</t>
  </si>
  <si>
    <t>Each x 3</t>
  </si>
  <si>
    <t>Tariff #9</t>
  </si>
  <si>
    <t>Rates</t>
  </si>
  <si>
    <t>Compaction Rate</t>
  </si>
  <si>
    <t>Revenue Check</t>
  </si>
  <si>
    <t>EQR (Base Residential Housing)</t>
  </si>
  <si>
    <t>65-Gal Wkly</t>
  </si>
  <si>
    <t>95-Gal Wkly</t>
  </si>
  <si>
    <t>Multi-Family, 1-yard Wkly</t>
  </si>
  <si>
    <t>Multi-Family, 1.5-yard Wkly</t>
  </si>
  <si>
    <t>Multi-Family, 2-yard Wkly</t>
  </si>
  <si>
    <t>Multi-Family, 3-yard Wkly</t>
  </si>
  <si>
    <t>Multi-Family, 4-yard Wkly</t>
  </si>
  <si>
    <t>Multi-Family, 6-yard Wkly</t>
  </si>
  <si>
    <t>Multi-Family, 8-yard Wkly</t>
  </si>
  <si>
    <t>(1)</t>
  </si>
  <si>
    <t>Pierce County Refuse</t>
  </si>
  <si>
    <t>EQR Disposal Schedule</t>
  </si>
  <si>
    <t>January 1, 2013  - December 31, 2013</t>
  </si>
  <si>
    <t>Tonnage</t>
  </si>
  <si>
    <t>Price per Ton</t>
  </si>
  <si>
    <t>Expense</t>
  </si>
  <si>
    <t>Increase per Lb</t>
  </si>
  <si>
    <t>Increase w/Gross Up</t>
  </si>
  <si>
    <t>Note:  EQR is the residential housing portion of JBLM.  In the last general filing EQR's tonnage was not separated from all other Base tonnage shown on the PCR Disposal tab, therefore we used the most recent 12 months of EQR tonnage to do their DF calculation.</t>
  </si>
  <si>
    <t>Note (1):  Customer counts based on the December 2013 EQR billing.</t>
  </si>
  <si>
    <t>Packer</t>
  </si>
  <si>
    <t xml:space="preserve">RO </t>
  </si>
  <si>
    <t>Monthly Factor</t>
  </si>
  <si>
    <t>Pickups:</t>
  </si>
  <si>
    <t>1 unit</t>
  </si>
  <si>
    <t>2 units</t>
  </si>
  <si>
    <t>3 units</t>
  </si>
  <si>
    <t>4 units</t>
  </si>
  <si>
    <t>5 units</t>
  </si>
  <si>
    <t>6 units</t>
  </si>
  <si>
    <t>7 unit</t>
  </si>
  <si>
    <t>5 Times per Week</t>
  </si>
  <si>
    <t>4 Times per Week</t>
  </si>
  <si>
    <t>3 Times per Week</t>
  </si>
  <si>
    <t>2 Times per Week</t>
  </si>
  <si>
    <t>Weekly Pickup (WG)</t>
  </si>
  <si>
    <t>Every Other Week (EOWG)</t>
  </si>
  <si>
    <t>Monthly (MG)</t>
  </si>
  <si>
    <t>Meeks Weights</t>
  </si>
  <si>
    <t>Res'l</t>
  </si>
  <si>
    <t>Pounds per Pickup</t>
  </si>
  <si>
    <t>20 gal minican</t>
  </si>
  <si>
    <t>1 can</t>
  </si>
  <si>
    <t>2 cans</t>
  </si>
  <si>
    <t>3 cans</t>
  </si>
  <si>
    <t>Lbs. per ton</t>
  </si>
  <si>
    <t>4 cans</t>
  </si>
  <si>
    <t>Yds. Per ton</t>
  </si>
  <si>
    <t>n/a</t>
  </si>
  <si>
    <t>5 cans</t>
  </si>
  <si>
    <t>6 cans</t>
  </si>
  <si>
    <t>35 gallon Can</t>
  </si>
  <si>
    <t>provided by wcon</t>
  </si>
  <si>
    <t>Supercan 60</t>
  </si>
  <si>
    <t>Supercan 90</t>
  </si>
  <si>
    <t>Once a month</t>
  </si>
  <si>
    <t>Extras</t>
  </si>
  <si>
    <t>Com'l</t>
  </si>
  <si>
    <t>Cans</t>
  </si>
  <si>
    <t>1 yd container</t>
  </si>
  <si>
    <t>1.5 yd container</t>
  </si>
  <si>
    <t>2 yd container</t>
  </si>
  <si>
    <t>3 yd container</t>
  </si>
  <si>
    <t>4 yd container</t>
  </si>
  <si>
    <t>6 yd container</t>
  </si>
  <si>
    <t>8 yd container</t>
  </si>
  <si>
    <t>1 yd packer/compactor</t>
  </si>
  <si>
    <t>*</t>
  </si>
  <si>
    <t>1.5 yd packer/compactor</t>
  </si>
  <si>
    <t>2 yd packer/compactor</t>
  </si>
  <si>
    <t>3 yd packer/compactor</t>
  </si>
  <si>
    <t>4 yd packer/compactor</t>
  </si>
  <si>
    <t>5 yd packer/compactor</t>
  </si>
  <si>
    <t>6 yd packer/compactor</t>
  </si>
  <si>
    <t>8 yd packer/compactor</t>
  </si>
  <si>
    <t>Yards</t>
  </si>
  <si>
    <t>* not on meeks - calculated by staff</t>
  </si>
  <si>
    <t>Per Pound</t>
  </si>
  <si>
    <t>Gross Up Factors</t>
  </si>
  <si>
    <t xml:space="preserve">Current Rate </t>
  </si>
  <si>
    <t>B&amp;O tax</t>
  </si>
  <si>
    <t>New Rate per ton</t>
  </si>
  <si>
    <t>WUTC fees</t>
  </si>
  <si>
    <t>Bad Debts</t>
  </si>
  <si>
    <t>Transfer Station</t>
  </si>
  <si>
    <t>Increase per ton</t>
  </si>
  <si>
    <t>Grossed Up Increase per ton</t>
  </si>
  <si>
    <t>Tons Collected</t>
  </si>
  <si>
    <t>Disposal Fee Revenue Increase</t>
  </si>
  <si>
    <t>Company Proposed Rates</t>
  </si>
  <si>
    <t>Res'l &amp; Com'l</t>
  </si>
  <si>
    <t>Revenue Inc from Co Proposed Rates</t>
  </si>
  <si>
    <t>Collected Revenue Excess/(Deficiency)</t>
  </si>
  <si>
    <t>Staff Revised Rates</t>
  </si>
  <si>
    <t>Revenue from Revised Rates</t>
  </si>
  <si>
    <t>Tariff Page</t>
  </si>
  <si>
    <t>Scheduled Service</t>
  </si>
  <si>
    <t>Monthly Customers</t>
  </si>
  <si>
    <t>Calculated Annual Pounds</t>
  </si>
  <si>
    <t>Adjusted Annual Pounds</t>
  </si>
  <si>
    <t>Gross Up</t>
  </si>
  <si>
    <t>Tariff Rate Increase</t>
  </si>
  <si>
    <t>Company Current Tariff</t>
  </si>
  <si>
    <t>Company Proposed Tariff</t>
  </si>
  <si>
    <t>Company Current Revenue</t>
  </si>
  <si>
    <t>Company Proposed Revenue</t>
  </si>
  <si>
    <t>Company Increased Revenue</t>
  </si>
  <si>
    <t>Commercial</t>
  </si>
  <si>
    <t>Totals</t>
  </si>
  <si>
    <t>No Current Customers</t>
  </si>
  <si>
    <t>Adjustment Factor Calculation</t>
  </si>
  <si>
    <t>Total Tonnage</t>
  </si>
  <si>
    <t>Differ from Company</t>
  </si>
  <si>
    <t>Total Pounds</t>
  </si>
  <si>
    <t>Total Pick Ups</t>
  </si>
  <si>
    <t>na - multiple pickups not on tariff</t>
  </si>
  <si>
    <t>Adjustment factor</t>
  </si>
  <si>
    <t>EQR</t>
  </si>
  <si>
    <t>Pierce County</t>
  </si>
  <si>
    <t>Total Commercial</t>
  </si>
  <si>
    <t>Total Residential</t>
  </si>
  <si>
    <t>Total EQR</t>
  </si>
  <si>
    <t>24-A</t>
  </si>
  <si>
    <t>24-B</t>
  </si>
  <si>
    <t>24-C</t>
  </si>
  <si>
    <t>Residential</t>
  </si>
  <si>
    <t>35 GL 1X WK NO RECY 1</t>
  </si>
  <si>
    <t>35 GL 1X EOW W/ RECY 1</t>
  </si>
  <si>
    <t>35 GL 1X EOW NO RECY 1</t>
  </si>
  <si>
    <t>35 GL 1X MO W/ RECY 1</t>
  </si>
  <si>
    <t>35 GL 1X MO NO RECY 1</t>
  </si>
  <si>
    <t>32 GL 1X WK NO RECY 5</t>
  </si>
  <si>
    <t>32 GL 1X WK W/RECY 5</t>
  </si>
  <si>
    <t>32 GL 1X WK NO RECY 6</t>
  </si>
  <si>
    <t>32 GL 1X WK W/RECY 6</t>
  </si>
  <si>
    <t>Notes</t>
  </si>
  <si>
    <t>Price Per Ton</t>
  </si>
  <si>
    <t>Item 105, pg 24-A (EQR)</t>
  </si>
  <si>
    <t>Item 105, pg 24-B (EQR)</t>
  </si>
  <si>
    <t>Item 105, pg 24-C (EQR)</t>
  </si>
  <si>
    <t>Container Each Addn'l Pick-Up</t>
  </si>
  <si>
    <t>Drop Box</t>
  </si>
  <si>
    <t>NOTE:  This is the same Price Out that was used in TG-140068 &amp; TG-150025, which was taken from TG-111688 with the exception of the EQR Data.  No changes have been made.</t>
  </si>
  <si>
    <t>NOTE:  This is the same schedule that was used in TG-140068/TG-150025, which was taken from TG-111688 with the exception of the EQR Data.  No changes have been made.</t>
  </si>
  <si>
    <t>Rates Effective 3/1/2016</t>
  </si>
  <si>
    <t>Rate Effective 3/1/2015</t>
  </si>
  <si>
    <t>Rate Effective 3/1/2016</t>
  </si>
  <si>
    <t>Note:  This schedule was taken from TG-140068/TG-150025.  No changes were made.</t>
  </si>
  <si>
    <r>
      <t xml:space="preserve">Note from Waste Connections 12/30/15:  The spreadsheet below was taken directly from TG-150025.  Columns B-M were not changed, because these have been audited and agreed upon in previous audits.  Column N "Staff Calculated Rate" was changed to "Company Proposed Rate," and the comparison of "Staff vs. Company" calculations, Columns S&amp;T were removed because this will be done as part of Staff's audit in their workpapers (as experienced from prior years' audits).  </t>
    </r>
    <r>
      <rPr>
        <b/>
        <u/>
        <sz val="11"/>
        <color rgb="FFFF0000"/>
        <rFont val="Calibri"/>
        <family val="2"/>
        <scheme val="minor"/>
      </rPr>
      <t>Please note ALL work for the 3/1/2016 DF increase has been performed on this tab, and the "Rate Sheet" tab.  Nothing has been changed on the other tabs, they are only there to support the previously audited customer counts and tonnages.</t>
    </r>
  </si>
</sst>
</file>

<file path=xl/styles.xml><?xml version="1.0" encoding="utf-8"?>
<styleSheet xmlns="http://schemas.openxmlformats.org/spreadsheetml/2006/main">
  <numFmts count="1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000_);_(* \(#,##0.0000\);_(* &quot;-&quot;??_);_(@_)"/>
    <numFmt numFmtId="168" formatCode="_(* #,##0.00000_);_(* \(#,##0.00000\);_(* &quot;-&quot;??_);_(@_)"/>
    <numFmt numFmtId="169" formatCode="_(* #,##0.0_);_(* \(#,##0.0\);_(* &quot;-&quot;??_);_(@_)"/>
    <numFmt numFmtId="170" formatCode="_(&quot;$&quot;* #,##0.000_);_(&quot;$&quot;* \(#,##0.000\);_(&quot;$&quot;* &quot;-&quot;??_);_(@_)"/>
    <numFmt numFmtId="171" formatCode="_(* #,##0.000000_);_(* \(#,##0.000000\);_(* &quot;-&quot;??_);_(@_)"/>
    <numFmt numFmtId="172" formatCode="_(&quot;$&quot;* #,##0.000000_);_(&quot;$&quot;* \(#,##0.000000\);_(&quot;$&quot;* &quot;-&quot;??_);_(@_)"/>
    <numFmt numFmtId="173" formatCode="0.0000%"/>
    <numFmt numFmtId="174" formatCode="0.000000"/>
    <numFmt numFmtId="175" formatCode="_(* #,##0.0000000_);_(* \(#,##0.0000000\);_(* &quot;-&quot;??_);_(@_)"/>
  </numFmts>
  <fonts count="81">
    <font>
      <sz val="11"/>
      <color theme="1"/>
      <name val="Calibri"/>
      <family val="2"/>
      <scheme val="minor"/>
    </font>
    <font>
      <sz val="11"/>
      <color theme="1"/>
      <name val="Calibri"/>
      <family val="2"/>
      <scheme val="minor"/>
    </font>
    <font>
      <sz val="11"/>
      <color indexed="8"/>
      <name val="Arial"/>
      <family val="2"/>
    </font>
    <font>
      <sz val="10"/>
      <color indexed="8"/>
      <name val="Calibri"/>
      <family val="2"/>
    </font>
    <font>
      <b/>
      <sz val="10"/>
      <color indexed="8"/>
      <name val="Calibri"/>
      <family val="2"/>
    </font>
    <font>
      <b/>
      <u/>
      <sz val="10"/>
      <color indexed="8"/>
      <name val="Calibri"/>
      <family val="2"/>
    </font>
    <font>
      <b/>
      <sz val="10"/>
      <color indexed="50"/>
      <name val="Calibri"/>
      <family val="2"/>
    </font>
    <font>
      <sz val="10"/>
      <name val="Arial"/>
      <family val="2"/>
    </font>
    <font>
      <sz val="11"/>
      <color indexed="8"/>
      <name val="Calibri"/>
      <family val="2"/>
    </font>
    <font>
      <sz val="10"/>
      <name val="Calibri"/>
      <family val="2"/>
    </font>
    <font>
      <b/>
      <sz val="8"/>
      <color indexed="81"/>
      <name val="Tahoma"/>
      <family val="2"/>
    </font>
    <font>
      <sz val="8"/>
      <color indexed="81"/>
      <name val="Tahoma"/>
      <family val="2"/>
    </font>
    <font>
      <sz val="11"/>
      <color indexed="9"/>
      <name val="Calibri"/>
      <family val="2"/>
    </font>
    <font>
      <sz val="11"/>
      <color indexed="20"/>
      <name val="Calibri"/>
      <family val="2"/>
    </font>
    <font>
      <b/>
      <sz val="11"/>
      <color indexed="52"/>
      <name val="Calibri"/>
      <family val="2"/>
    </font>
    <font>
      <sz val="10"/>
      <color indexed="8"/>
      <name val="Arial"/>
      <family val="2"/>
    </font>
    <font>
      <sz val="12"/>
      <name val="Courier"/>
      <family val="3"/>
    </font>
    <font>
      <sz val="9"/>
      <color indexed="8"/>
      <name val="Arial"/>
      <family val="2"/>
    </font>
    <font>
      <sz val="10"/>
      <name val="Times New Roman"/>
      <family val="1"/>
    </font>
    <font>
      <b/>
      <sz val="10"/>
      <color indexed="12"/>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u/>
      <sz val="11"/>
      <color indexed="12"/>
      <name val="Calibri"/>
      <family val="2"/>
    </font>
    <font>
      <sz val="10"/>
      <color indexed="12"/>
      <name val="Arial"/>
      <family val="2"/>
    </font>
    <font>
      <sz val="11"/>
      <color indexed="52"/>
      <name val="Calibri"/>
      <family val="2"/>
    </font>
    <font>
      <sz val="11"/>
      <color indexed="60"/>
      <name val="Calibri"/>
      <family val="2"/>
    </font>
    <font>
      <sz val="12"/>
      <name val="Helv"/>
    </font>
    <font>
      <i/>
      <sz val="10"/>
      <color indexed="10"/>
      <name val="Arial"/>
      <family val="2"/>
    </font>
    <font>
      <sz val="10"/>
      <name val="MS Sans Serif"/>
      <family val="2"/>
    </font>
    <font>
      <b/>
      <sz val="10"/>
      <name val="MS Sans Serif"/>
      <family val="2"/>
    </font>
    <font>
      <b/>
      <sz val="11"/>
      <color indexed="8"/>
      <name val="Calibri"/>
      <family val="2"/>
    </font>
    <font>
      <b/>
      <sz val="8"/>
      <color indexed="8"/>
      <name val="ARIAL"/>
      <family val="2"/>
    </font>
    <font>
      <sz val="8"/>
      <color indexed="8"/>
      <name val="Arial"/>
      <family val="2"/>
    </font>
    <font>
      <b/>
      <sz val="10"/>
      <name val="Arial"/>
      <family val="2"/>
    </font>
    <font>
      <sz val="8"/>
      <color indexed="10"/>
      <name val="Arial"/>
      <family val="2"/>
    </font>
    <font>
      <b/>
      <sz val="10"/>
      <color rgb="FFFF0000"/>
      <name val="Calibri"/>
      <family val="2"/>
    </font>
    <font>
      <b/>
      <sz val="8"/>
      <color rgb="FFFF0000"/>
      <name val="ARIAL"/>
      <family val="2"/>
    </font>
    <font>
      <b/>
      <sz val="11"/>
      <color indexed="51"/>
      <name val="Calibri"/>
      <family val="2"/>
    </font>
    <font>
      <b/>
      <sz val="11"/>
      <color indexed="10"/>
      <name val="Calibri"/>
      <family val="2"/>
    </font>
    <font>
      <b/>
      <sz val="11"/>
      <color indexed="9"/>
      <name val="Calibri"/>
      <family val="2"/>
    </font>
    <font>
      <i/>
      <sz val="11"/>
      <color indexed="23"/>
      <name val="Calibri"/>
      <family val="2"/>
    </font>
    <font>
      <b/>
      <sz val="15"/>
      <color indexed="61"/>
      <name val="Calibri"/>
      <family val="2"/>
    </font>
    <font>
      <b/>
      <sz val="13"/>
      <color indexed="61"/>
      <name val="Calibri"/>
      <family val="2"/>
    </font>
    <font>
      <b/>
      <sz val="11"/>
      <color indexed="61"/>
      <name val="Calibri"/>
      <family val="2"/>
    </font>
    <font>
      <u/>
      <sz val="11"/>
      <color theme="10"/>
      <name val="Calibri"/>
      <family val="2"/>
    </font>
    <font>
      <sz val="11"/>
      <color indexed="61"/>
      <name val="Calibri"/>
      <family val="2"/>
    </font>
    <font>
      <sz val="11"/>
      <color indexed="62"/>
      <name val="Calibri"/>
      <family val="2"/>
    </font>
    <font>
      <sz val="11"/>
      <color indexed="51"/>
      <name val="Calibri"/>
      <family val="2"/>
    </font>
    <font>
      <sz val="11"/>
      <color indexed="10"/>
      <name val="Calibri"/>
      <family val="2"/>
    </font>
    <font>
      <sz val="11"/>
      <color indexed="59"/>
      <name val="Calibri"/>
      <family val="2"/>
    </font>
    <font>
      <sz val="11"/>
      <color indexed="19"/>
      <name val="Calibri"/>
      <family val="2"/>
    </font>
    <font>
      <b/>
      <sz val="11"/>
      <color indexed="63"/>
      <name val="Calibri"/>
      <family val="2"/>
    </font>
    <font>
      <sz val="8"/>
      <color indexed="56"/>
      <name val="Arial"/>
      <family val="2"/>
    </font>
    <font>
      <b/>
      <sz val="18"/>
      <color indexed="61"/>
      <name val="Cambria"/>
      <family val="2"/>
    </font>
    <font>
      <b/>
      <sz val="18"/>
      <color indexed="62"/>
      <name val="Cambria"/>
      <family val="2"/>
    </font>
    <font>
      <sz val="12"/>
      <name val="Arial"/>
      <family val="2"/>
    </font>
    <font>
      <sz val="10"/>
      <name val="Cambria"/>
      <family val="1"/>
      <scheme val="major"/>
    </font>
    <font>
      <b/>
      <sz val="10"/>
      <name val="Cambria"/>
      <family val="1"/>
      <scheme val="major"/>
    </font>
    <font>
      <b/>
      <sz val="10"/>
      <color theme="1"/>
      <name val="Cambria"/>
      <family val="1"/>
      <scheme val="major"/>
    </font>
    <font>
      <sz val="10"/>
      <color theme="1"/>
      <name val="Cambria"/>
      <family val="1"/>
      <scheme val="major"/>
    </font>
    <font>
      <sz val="10"/>
      <color theme="1"/>
      <name val="Calibri"/>
      <family val="2"/>
      <scheme val="minor"/>
    </font>
    <font>
      <b/>
      <sz val="11"/>
      <color theme="1"/>
      <name val="Calibri"/>
      <family val="2"/>
      <scheme val="minor"/>
    </font>
    <font>
      <b/>
      <sz val="10"/>
      <color rgb="FF0070C0"/>
      <name val="Calibri"/>
      <family val="2"/>
    </font>
    <font>
      <sz val="11"/>
      <color rgb="FFFF0000"/>
      <name val="Calibri"/>
      <family val="2"/>
      <scheme val="minor"/>
    </font>
    <font>
      <sz val="8"/>
      <name val="Arial"/>
      <family val="2"/>
    </font>
    <font>
      <b/>
      <sz val="15"/>
      <color indexed="56"/>
      <name val="Calibri"/>
      <family val="2"/>
    </font>
    <font>
      <b/>
      <sz val="13"/>
      <color indexed="56"/>
      <name val="Calibri"/>
      <family val="2"/>
    </font>
    <font>
      <b/>
      <sz val="11"/>
      <color indexed="56"/>
      <name val="Calibri"/>
      <family val="2"/>
    </font>
    <font>
      <sz val="12"/>
      <name val="Arial MT"/>
    </font>
    <font>
      <b/>
      <u/>
      <sz val="11"/>
      <name val="Arial"/>
      <family val="2"/>
    </font>
    <font>
      <sz val="11"/>
      <name val="Calibri"/>
      <family val="2"/>
      <scheme val="minor"/>
    </font>
    <font>
      <b/>
      <sz val="11"/>
      <name val="Calibri"/>
      <family val="2"/>
      <scheme val="minor"/>
    </font>
    <font>
      <sz val="11"/>
      <color theme="3" tint="0.39997558519241921"/>
      <name val="Calibri"/>
      <family val="2"/>
      <scheme val="minor"/>
    </font>
    <font>
      <b/>
      <sz val="9"/>
      <color indexed="81"/>
      <name val="Tahoma"/>
      <family val="2"/>
    </font>
    <font>
      <sz val="9"/>
      <color indexed="81"/>
      <name val="Tahoma"/>
      <family val="2"/>
    </font>
    <font>
      <b/>
      <sz val="11"/>
      <color rgb="FFFF0000"/>
      <name val="Calibri"/>
      <family val="2"/>
      <scheme val="minor"/>
    </font>
    <font>
      <b/>
      <i/>
      <sz val="11"/>
      <color theme="1"/>
      <name val="Calibri"/>
      <family val="2"/>
      <scheme val="minor"/>
    </font>
    <font>
      <b/>
      <u/>
      <sz val="11"/>
      <color rgb="FFFF0000"/>
      <name val="Calibri"/>
      <family val="2"/>
      <scheme val="minor"/>
    </font>
  </fonts>
  <fills count="45">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indexed="22"/>
      </patternFill>
    </fill>
    <fill>
      <patternFill patternType="solid">
        <fgColor indexed="44"/>
      </patternFill>
    </fill>
    <fill>
      <patternFill patternType="solid">
        <fgColor indexed="43"/>
      </patternFill>
    </fill>
    <fill>
      <patternFill patternType="solid">
        <fgColor indexed="49"/>
      </patternFill>
    </fill>
    <fill>
      <patternFill patternType="solid">
        <fgColor indexed="29"/>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9"/>
      </patternFill>
    </fill>
    <fill>
      <patternFill patternType="solid">
        <fgColor indexed="65"/>
        <bgColor indexed="10"/>
      </patternFill>
    </fill>
    <fill>
      <patternFill patternType="gray125">
        <fgColor indexed="10"/>
      </patternFill>
    </fill>
    <fill>
      <patternFill patternType="solid">
        <fgColor indexed="42"/>
      </patternFill>
    </fill>
    <fill>
      <patternFill patternType="solid">
        <fgColor indexed="22"/>
        <bgColor indexed="64"/>
      </patternFill>
    </fill>
    <fill>
      <patternFill patternType="solid">
        <fgColor indexed="26"/>
      </patternFill>
    </fill>
    <fill>
      <patternFill patternType="solid">
        <fgColor indexed="41"/>
        <bgColor indexed="64"/>
      </patternFill>
    </fill>
    <fill>
      <patternFill patternType="solid">
        <fgColor indexed="47"/>
      </patternFill>
    </fill>
    <fill>
      <patternFill patternType="solid">
        <fgColor indexed="27"/>
      </patternFill>
    </fill>
    <fill>
      <patternFill patternType="solid">
        <fgColor indexed="48"/>
      </patternFill>
    </fill>
    <fill>
      <patternFill patternType="solid">
        <fgColor indexed="51"/>
      </patternFill>
    </fill>
    <fill>
      <patternFill patternType="solid">
        <fgColor indexed="56"/>
      </patternFill>
    </fill>
    <fill>
      <patternFill patternType="solid">
        <fgColor indexed="54"/>
      </patternFill>
    </fill>
    <fill>
      <patternFill patternType="solid">
        <fgColor indexed="52"/>
      </patternFill>
    </fill>
    <fill>
      <patternFill patternType="solid">
        <fgColor indexed="46"/>
      </patternFill>
    </fill>
    <fill>
      <patternFill patternType="solid">
        <fgColor indexed="63"/>
      </patternFill>
    </fill>
    <fill>
      <patternFill patternType="solid">
        <fgColor indexed="55"/>
      </patternFill>
    </fill>
    <fill>
      <patternFill patternType="solid">
        <fgColor indexed="45"/>
        <bgColor indexed="64"/>
      </patternFill>
    </fill>
    <fill>
      <patternFill patternType="mediumGray">
        <fgColor indexed="22"/>
      </patternFill>
    </fill>
    <fill>
      <patternFill patternType="solid">
        <fgColor indexed="43"/>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indexed="31"/>
      </patternFill>
    </fill>
    <fill>
      <patternFill patternType="solid">
        <fgColor indexed="30"/>
      </patternFill>
    </fill>
    <fill>
      <patternFill patternType="solid">
        <fgColor indexed="11"/>
      </patternFill>
    </fill>
    <fill>
      <patternFill patternType="solid">
        <fgColor indexed="36"/>
      </patternFill>
    </fill>
    <fill>
      <patternFill patternType="solid">
        <fgColor indexed="62"/>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rgb="FF92D050"/>
        <bgColor indexed="64"/>
      </patternFill>
    </fill>
  </fills>
  <borders count="47">
    <border>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style="thin">
        <color indexed="49"/>
      </top>
      <bottom style="double">
        <color indexed="49"/>
      </bottom>
      <diagonal/>
    </border>
    <border>
      <left style="thin">
        <color indexed="22"/>
      </left>
      <right style="thin">
        <color indexed="22"/>
      </right>
      <top style="thin">
        <color indexed="22"/>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2"/>
      </left>
      <right style="double">
        <color indexed="62"/>
      </right>
      <top style="double">
        <color indexed="62"/>
      </top>
      <bottom style="double">
        <color indexed="62"/>
      </bottom>
      <diagonal/>
    </border>
    <border>
      <left style="double">
        <color indexed="8"/>
      </left>
      <right style="double">
        <color indexed="8"/>
      </right>
      <top style="double">
        <color indexed="8"/>
      </top>
      <bottom style="double">
        <color indexed="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6"/>
      </bottom>
      <diagonal/>
    </border>
    <border>
      <left/>
      <right/>
      <top/>
      <bottom style="thick">
        <color indexed="27"/>
      </bottom>
      <diagonal/>
    </border>
    <border>
      <left/>
      <right/>
      <top/>
      <bottom style="medium">
        <color indexed="48"/>
      </bottom>
      <diagonal/>
    </border>
    <border>
      <left/>
      <right/>
      <top/>
      <bottom style="medium">
        <color indexed="27"/>
      </bottom>
      <diagonal/>
    </border>
    <border>
      <left/>
      <right/>
      <top/>
      <bottom style="double">
        <color indexed="51"/>
      </bottom>
      <diagonal/>
    </border>
    <border>
      <left/>
      <right/>
      <top/>
      <bottom style="double">
        <color indexed="10"/>
      </bottom>
      <diagonal/>
    </border>
    <border>
      <left style="thin">
        <color indexed="62"/>
      </left>
      <right style="thin">
        <color indexed="62"/>
      </right>
      <top style="thin">
        <color indexed="62"/>
      </top>
      <bottom style="thin">
        <color indexed="6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48"/>
      </top>
      <bottom style="double">
        <color indexed="48"/>
      </bottom>
      <diagonal/>
    </border>
    <border>
      <left/>
      <right/>
      <top style="thin">
        <color indexed="56"/>
      </top>
      <bottom style="double">
        <color indexed="56"/>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double">
        <color indexed="64"/>
      </top>
      <bottom style="thin">
        <color indexed="64"/>
      </bottom>
      <diagonal/>
    </border>
  </borders>
  <cellStyleXfs count="415">
    <xf numFmtId="0" fontId="0" fillId="0" borderId="0"/>
    <xf numFmtId="43" fontId="7"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2" fillId="0" borderId="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41" fontId="7" fillId="0" borderId="0"/>
    <xf numFmtId="0" fontId="13" fillId="12" borderId="0" applyNumberFormat="0" applyBorder="0" applyAlignment="0" applyProtection="0"/>
    <xf numFmtId="3" fontId="7" fillId="0" borderId="0"/>
    <xf numFmtId="0" fontId="14" fillId="13" borderId="2"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 fontId="15" fillId="0" borderId="0"/>
    <xf numFmtId="0" fontId="16" fillId="0" borderId="0"/>
    <xf numFmtId="0" fontId="16" fillId="0" borderId="0"/>
    <xf numFmtId="0" fontId="17" fillId="14" borderId="3" applyAlignment="0">
      <alignment horizontal="right"/>
      <protection locked="0"/>
    </xf>
    <xf numFmtId="44" fontId="18"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19" fillId="15" borderId="0">
      <alignment horizontal="right"/>
      <protection locked="0"/>
    </xf>
    <xf numFmtId="2" fontId="19" fillId="15" borderId="0">
      <alignment horizontal="right"/>
      <protection locked="0"/>
    </xf>
    <xf numFmtId="0" fontId="20" fillId="16" borderId="0" applyNumberFormat="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3" fontId="26" fillId="17" borderId="0">
      <protection locked="0"/>
    </xf>
    <xf numFmtId="4" fontId="26" fillId="17" borderId="0">
      <protection locked="0"/>
    </xf>
    <xf numFmtId="0" fontId="27" fillId="0" borderId="7" applyNumberFormat="0" applyFill="0" applyAlignment="0" applyProtection="0"/>
    <xf numFmtId="0" fontId="28" fillId="6" borderId="0" applyNumberFormat="0" applyBorder="0" applyAlignment="0" applyProtection="0"/>
    <xf numFmtId="43" fontId="7" fillId="0" borderId="0"/>
    <xf numFmtId="0" fontId="29" fillId="0" borderId="0"/>
    <xf numFmtId="0" fontId="29" fillId="0" borderId="0"/>
    <xf numFmtId="0" fontId="29" fillId="0" borderId="0"/>
    <xf numFmtId="0" fontId="29" fillId="0" borderId="0"/>
    <xf numFmtId="0" fontId="29" fillId="0" borderId="0"/>
    <xf numFmtId="0" fontId="7" fillId="0" borderId="0"/>
    <xf numFmtId="0" fontId="7"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29" fillId="0" borderId="0"/>
    <xf numFmtId="0" fontId="7" fillId="0" borderId="0"/>
    <xf numFmtId="0" fontId="7" fillId="0" borderId="0"/>
    <xf numFmtId="0" fontId="7" fillId="0" borderId="0"/>
    <xf numFmtId="0" fontId="7" fillId="0" borderId="0"/>
    <xf numFmtId="0" fontId="7" fillId="0" borderId="0"/>
    <xf numFmtId="0" fontId="7" fillId="0" borderId="0"/>
    <xf numFmtId="0" fontId="15" fillId="0" borderId="0"/>
    <xf numFmtId="0" fontId="8" fillId="0" borderId="0"/>
    <xf numFmtId="0" fontId="8" fillId="18" borderId="8" applyNumberFormat="0" applyFont="0" applyAlignment="0" applyProtection="0"/>
    <xf numFmtId="164" fontId="30" fillId="0" borderId="0" applyNumberFormat="0"/>
    <xf numFmtId="9" fontId="7"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164" fontId="7" fillId="0" borderId="0" applyFont="0" applyFill="0" applyBorder="0" applyAlignment="0" applyProtection="0"/>
    <xf numFmtId="10" fontId="7" fillId="0" borderId="0" applyFont="0" applyFill="0" applyBorder="0" applyAlignment="0" applyProtection="0"/>
    <xf numFmtId="0" fontId="7" fillId="0" borderId="0"/>
    <xf numFmtId="0" fontId="31" fillId="0" borderId="0" applyNumberFormat="0" applyFont="0" applyFill="0" applyBorder="0" applyAlignment="0" applyProtection="0">
      <alignment horizontal="left"/>
    </xf>
    <xf numFmtId="0" fontId="32" fillId="0" borderId="9">
      <alignment horizontal="center"/>
    </xf>
    <xf numFmtId="0" fontId="15" fillId="0" borderId="0">
      <alignment vertical="top"/>
    </xf>
    <xf numFmtId="0" fontId="15" fillId="0" borderId="0" applyNumberFormat="0" applyBorder="0" applyAlignment="0"/>
    <xf numFmtId="0" fontId="33" fillId="0" borderId="10" applyNumberFormat="0" applyFill="0" applyAlignment="0" applyProtection="0"/>
    <xf numFmtId="0" fontId="8" fillId="20"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20" borderId="0" applyNumberFormat="0" applyBorder="0" applyAlignment="0" applyProtection="0"/>
    <xf numFmtId="0" fontId="8" fillId="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18" borderId="0" applyNumberFormat="0" applyBorder="0" applyAlignment="0" applyProtection="0"/>
    <xf numFmtId="0" fontId="8" fillId="20" borderId="0" applyNumberFormat="0" applyBorder="0" applyAlignment="0" applyProtection="0"/>
    <xf numFmtId="0" fontId="8" fillId="18" borderId="0" applyNumberFormat="0" applyBorder="0" applyAlignment="0" applyProtection="0"/>
    <xf numFmtId="0" fontId="8" fillId="2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18"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21" borderId="0" applyNumberFormat="0" applyBorder="0" applyAlignment="0" applyProtection="0"/>
    <xf numFmtId="0" fontId="8" fillId="18" borderId="0" applyNumberFormat="0" applyBorder="0" applyAlignment="0" applyProtection="0"/>
    <xf numFmtId="0" fontId="12" fillId="22" borderId="0" applyNumberFormat="0" applyBorder="0" applyAlignment="0" applyProtection="0"/>
    <xf numFmtId="0" fontId="12" fillId="7" borderId="0" applyNumberFormat="0" applyBorder="0" applyAlignment="0" applyProtection="0"/>
    <xf numFmtId="0" fontId="12" fillId="21" borderId="0" applyNumberFormat="0" applyBorder="0" applyAlignment="0" applyProtection="0"/>
    <xf numFmtId="0" fontId="12" fillId="11" borderId="0" applyNumberFormat="0" applyBorder="0" applyAlignment="0" applyProtection="0"/>
    <xf numFmtId="0" fontId="12" fillId="23" borderId="0" applyNumberFormat="0" applyBorder="0" applyAlignment="0" applyProtection="0"/>
    <xf numFmtId="0" fontId="12" fillId="12" borderId="0" applyNumberFormat="0" applyBorder="0" applyAlignment="0" applyProtection="0"/>
    <xf numFmtId="0" fontId="12" fillId="22" borderId="0" applyNumberFormat="0" applyBorder="0" applyAlignment="0" applyProtection="0"/>
    <xf numFmtId="0" fontId="12" fillId="7" borderId="0" applyNumberFormat="0" applyBorder="0" applyAlignment="0" applyProtection="0"/>
    <xf numFmtId="0" fontId="12" fillId="21" borderId="0" applyNumberFormat="0" applyBorder="0" applyAlignment="0" applyProtection="0"/>
    <xf numFmtId="0" fontId="12" fillId="8" borderId="0" applyNumberFormat="0" applyBorder="0" applyAlignment="0" applyProtection="0"/>
    <xf numFmtId="0" fontId="12" fillId="20" borderId="0" applyNumberFormat="0" applyBorder="0" applyAlignment="0" applyProtection="0"/>
    <xf numFmtId="0" fontId="12" fillId="8" borderId="0" applyNumberFormat="0" applyBorder="0" applyAlignment="0" applyProtection="0"/>
    <xf numFmtId="0" fontId="12" fillId="22" borderId="0" applyNumberFormat="0" applyBorder="0" applyAlignment="0" applyProtection="0"/>
    <xf numFmtId="0" fontId="12" fillId="7" borderId="0" applyNumberFormat="0" applyBorder="0" applyAlignment="0" applyProtection="0"/>
    <xf numFmtId="0" fontId="12" fillId="24" borderId="0" applyNumberFormat="0" applyBorder="0" applyAlignment="0" applyProtection="0"/>
    <xf numFmtId="0" fontId="12" fillId="11" borderId="0" applyNumberFormat="0" applyBorder="0" applyAlignment="0" applyProtection="0"/>
    <xf numFmtId="0" fontId="12" fillId="24" borderId="0" applyNumberFormat="0" applyBorder="0" applyAlignment="0" applyProtection="0"/>
    <xf numFmtId="0" fontId="12" fillId="10" borderId="0" applyNumberFormat="0" applyBorder="0" applyAlignment="0" applyProtection="0"/>
    <xf numFmtId="0" fontId="12" fillId="23" borderId="0" applyNumberFormat="0" applyBorder="0" applyAlignment="0" applyProtection="0"/>
    <xf numFmtId="0" fontId="12" fillId="11"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0" borderId="0" applyNumberFormat="0" applyBorder="0" applyAlignment="0" applyProtection="0"/>
    <xf numFmtId="0" fontId="12" fillId="7" borderId="0" applyNumberFormat="0" applyBorder="0" applyAlignment="0" applyProtection="0"/>
    <xf numFmtId="0" fontId="12" fillId="26" borderId="0" applyNumberFormat="0" applyBorder="0" applyAlignment="0" applyProtection="0"/>
    <xf numFmtId="0" fontId="12" fillId="11" borderId="0" applyNumberFormat="0" applyBorder="0" applyAlignment="0" applyProtection="0"/>
    <xf numFmtId="0" fontId="12" fillId="9" borderId="0" applyNumberFormat="0" applyBorder="0" applyAlignment="0" applyProtection="0"/>
    <xf numFmtId="41" fontId="7" fillId="0" borderId="0"/>
    <xf numFmtId="41" fontId="7" fillId="0" borderId="0"/>
    <xf numFmtId="41" fontId="7" fillId="0" borderId="0"/>
    <xf numFmtId="0" fontId="13" fillId="27" borderId="0" applyNumberFormat="0" applyBorder="0" applyAlignment="0" applyProtection="0"/>
    <xf numFmtId="3" fontId="7" fillId="0" borderId="0"/>
    <xf numFmtId="3" fontId="7" fillId="0" borderId="0"/>
    <xf numFmtId="3" fontId="7" fillId="0" borderId="0"/>
    <xf numFmtId="0" fontId="40" fillId="13" borderId="2" applyNumberFormat="0" applyAlignment="0" applyProtection="0"/>
    <xf numFmtId="0" fontId="14" fillId="13" borderId="2" applyNumberFormat="0" applyAlignment="0" applyProtection="0"/>
    <xf numFmtId="0" fontId="41" fillId="13" borderId="2" applyNumberFormat="0" applyAlignment="0" applyProtection="0"/>
    <xf numFmtId="0" fontId="42" fillId="28" borderId="20" applyNumberFormat="0" applyAlignment="0" applyProtection="0"/>
    <xf numFmtId="0" fontId="42" fillId="29" borderId="21" applyNumberFormat="0" applyAlignment="0" applyProtection="0"/>
    <xf numFmtId="0" fontId="42" fillId="29" borderId="22" applyNumberFormat="0" applyAlignment="0" applyProtection="0"/>
    <xf numFmtId="0" fontId="7" fillId="30" borderId="0">
      <alignment horizontal="center"/>
    </xf>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7" fillId="0" borderId="0"/>
    <xf numFmtId="0" fontId="20" fillId="21" borderId="0" applyNumberFormat="0" applyBorder="0" applyAlignment="0" applyProtection="0"/>
    <xf numFmtId="0" fontId="44" fillId="0" borderId="23" applyNumberFormat="0" applyFill="0" applyAlignment="0" applyProtection="0"/>
    <xf numFmtId="0" fontId="21" fillId="0" borderId="4" applyNumberFormat="0" applyFill="0" applyAlignment="0" applyProtection="0"/>
    <xf numFmtId="0" fontId="21" fillId="0" borderId="24" applyNumberFormat="0" applyFill="0" applyAlignment="0" applyProtection="0"/>
    <xf numFmtId="0" fontId="45" fillId="0" borderId="5" applyNumberFormat="0" applyFill="0" applyAlignment="0" applyProtection="0"/>
    <xf numFmtId="0" fontId="22" fillId="0" borderId="5" applyNumberFormat="0" applyFill="0" applyAlignment="0" applyProtection="0"/>
    <xf numFmtId="0" fontId="22" fillId="0" borderId="25" applyNumberFormat="0" applyFill="0" applyAlignment="0" applyProtection="0"/>
    <xf numFmtId="0" fontId="46" fillId="0" borderId="26" applyNumberFormat="0" applyFill="0" applyAlignment="0" applyProtection="0"/>
    <xf numFmtId="0" fontId="23" fillId="0" borderId="6" applyNumberFormat="0" applyFill="0" applyAlignment="0" applyProtection="0"/>
    <xf numFmtId="0" fontId="23" fillId="0" borderId="27" applyNumberFormat="0" applyFill="0" applyAlignment="0" applyProtection="0"/>
    <xf numFmtId="0" fontId="46"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7" fillId="0" borderId="0" applyNumberFormat="0" applyFill="0" applyBorder="0" applyAlignment="0" applyProtection="0">
      <alignment vertical="top"/>
      <protection locked="0"/>
    </xf>
    <xf numFmtId="0" fontId="48" fillId="6" borderId="2" applyNumberFormat="0" applyAlignment="0" applyProtection="0"/>
    <xf numFmtId="0" fontId="49" fillId="20" borderId="2" applyNumberFormat="0" applyAlignment="0" applyProtection="0"/>
    <xf numFmtId="0" fontId="49" fillId="6" borderId="2" applyNumberFormat="0" applyAlignment="0" applyProtection="0"/>
    <xf numFmtId="0" fontId="50" fillId="0" borderId="28" applyNumberFormat="0" applyFill="0" applyAlignment="0" applyProtection="0"/>
    <xf numFmtId="0" fontId="27" fillId="0" borderId="7" applyNumberFormat="0" applyFill="0" applyAlignment="0" applyProtection="0"/>
    <xf numFmtId="0" fontId="51" fillId="0" borderId="29" applyNumberFormat="0" applyFill="0" applyAlignment="0" applyProtection="0"/>
    <xf numFmtId="0" fontId="52" fillId="6" borderId="0" applyNumberFormat="0" applyBorder="0" applyAlignment="0" applyProtection="0"/>
    <xf numFmtId="0" fontId="28" fillId="6" borderId="0" applyNumberFormat="0" applyBorder="0" applyAlignment="0" applyProtection="0"/>
    <xf numFmtId="0" fontId="53" fillId="6" borderId="0" applyNumberFormat="0" applyBorder="0" applyAlignment="0" applyProtection="0"/>
    <xf numFmtId="0" fontId="7" fillId="0" borderId="0"/>
    <xf numFmtId="0" fontId="7" fillId="0" borderId="0"/>
    <xf numFmtId="0" fontId="1" fillId="0" borderId="0"/>
    <xf numFmtId="0" fontId="7" fillId="0" borderId="0"/>
    <xf numFmtId="0" fontId="1" fillId="0" borderId="0"/>
    <xf numFmtId="0" fontId="7" fillId="0" borderId="0"/>
    <xf numFmtId="0" fontId="1" fillId="0" borderId="0"/>
    <xf numFmtId="0" fontId="7" fillId="0" borderId="0"/>
    <xf numFmtId="0" fontId="1" fillId="0" borderId="0"/>
    <xf numFmtId="0" fontId="7" fillId="0" borderId="0"/>
    <xf numFmtId="0" fontId="8" fillId="0" borderId="0"/>
    <xf numFmtId="0" fontId="7" fillId="0" borderId="0"/>
    <xf numFmtId="0" fontId="8" fillId="0" borderId="0"/>
    <xf numFmtId="0" fontId="7" fillId="0" borderId="0"/>
    <xf numFmtId="0" fontId="8"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9" fillId="0" borderId="0"/>
    <xf numFmtId="0" fontId="1" fillId="0" borderId="0"/>
    <xf numFmtId="0" fontId="1" fillId="0" borderId="0"/>
    <xf numFmtId="0" fontId="15"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15" fillId="0" borderId="0">
      <alignment vertical="top"/>
    </xf>
    <xf numFmtId="0" fontId="15" fillId="0" borderId="0">
      <alignment vertical="top"/>
    </xf>
    <xf numFmtId="0" fontId="15" fillId="0" borderId="0">
      <alignment vertical="top"/>
    </xf>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18" borderId="8" applyNumberFormat="0" applyFont="0" applyAlignment="0" applyProtection="0"/>
    <xf numFmtId="0" fontId="29" fillId="18" borderId="8" applyNumberFormat="0" applyFont="0" applyAlignment="0" applyProtection="0"/>
    <xf numFmtId="0" fontId="23" fillId="13" borderId="30" applyNumberFormat="0" applyAlignment="0" applyProtection="0"/>
    <xf numFmtId="0" fontId="33" fillId="28" borderId="31" applyNumberFormat="0" applyAlignment="0" applyProtection="0"/>
    <xf numFmtId="0" fontId="54" fillId="13" borderId="32" applyNumberFormat="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38" fontId="55" fillId="0" borderId="0" applyNumberFormat="0" applyFont="0" applyFill="0" applyBorder="0">
      <alignment horizontal="left" indent="4"/>
      <protection locked="0"/>
    </xf>
    <xf numFmtId="15" fontId="31" fillId="0" borderId="0" applyFont="0" applyFill="0" applyBorder="0" applyAlignment="0" applyProtection="0"/>
    <xf numFmtId="4" fontId="31" fillId="0" borderId="0" applyFont="0" applyFill="0" applyBorder="0" applyAlignment="0" applyProtection="0"/>
    <xf numFmtId="3" fontId="31" fillId="0" borderId="0" applyFont="0" applyFill="0" applyBorder="0" applyAlignment="0" applyProtection="0"/>
    <xf numFmtId="0" fontId="31" fillId="31" borderId="0" applyNumberFormat="0" applyFont="0" applyBorder="0" applyAlignment="0" applyProtection="0"/>
    <xf numFmtId="0" fontId="15" fillId="0" borderId="0">
      <alignment vertical="top"/>
    </xf>
    <xf numFmtId="0" fontId="5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33" fillId="0" borderId="33" applyNumberFormat="0" applyFill="0" applyAlignment="0" applyProtection="0"/>
    <xf numFmtId="0" fontId="33" fillId="0" borderId="10" applyNumberFormat="0" applyFill="0" applyAlignment="0" applyProtection="0"/>
    <xf numFmtId="0" fontId="33" fillId="0" borderId="34"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165" fontId="58" fillId="32" borderId="0" applyFont="0" applyFill="0" applyBorder="0" applyAlignment="0" applyProtection="0">
      <alignment wrapText="1"/>
    </xf>
    <xf numFmtId="0" fontId="7" fillId="0" borderId="0"/>
    <xf numFmtId="0" fontId="8" fillId="36" borderId="0" applyNumberFormat="0" applyBorder="0" applyAlignment="0" applyProtection="0"/>
    <xf numFmtId="0" fontId="8" fillId="27"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23"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39" borderId="0" applyNumberFormat="0" applyBorder="0" applyAlignment="0" applyProtection="0"/>
    <xf numFmtId="0" fontId="12" fillId="40" borderId="0" applyNumberFormat="0" applyBorder="0" applyAlignment="0" applyProtection="0"/>
    <xf numFmtId="0" fontId="14" fillId="4" borderId="2" applyNumberFormat="0" applyAlignment="0" applyProtection="0"/>
    <xf numFmtId="43" fontId="8" fillId="0" borderId="0" applyFont="0" applyFill="0" applyBorder="0" applyAlignment="0" applyProtection="0"/>
    <xf numFmtId="43" fontId="6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67"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14" fontId="7" fillId="0" borderId="0"/>
    <xf numFmtId="1" fontId="7" fillId="0" borderId="0">
      <alignment horizontal="center"/>
    </xf>
    <xf numFmtId="0" fontId="68" fillId="0" borderId="37" applyNumberFormat="0" applyFill="0" applyAlignment="0" applyProtection="0"/>
    <xf numFmtId="0" fontId="69" fillId="0" borderId="5" applyNumberFormat="0" applyFill="0" applyAlignment="0" applyProtection="0"/>
    <xf numFmtId="0" fontId="70" fillId="0" borderId="38" applyNumberFormat="0" applyFill="0" applyAlignment="0" applyProtection="0"/>
    <xf numFmtId="0" fontId="1" fillId="0" borderId="0"/>
    <xf numFmtId="0" fontId="8" fillId="0" borderId="0"/>
    <xf numFmtId="0" fontId="7" fillId="0" borderId="0"/>
    <xf numFmtId="0" fontId="7" fillId="0" borderId="0"/>
    <xf numFmtId="0" fontId="7" fillId="0" borderId="0"/>
    <xf numFmtId="0" fontId="7" fillId="0" borderId="0"/>
    <xf numFmtId="0" fontId="67" fillId="18" borderId="8" applyNumberFormat="0" applyFont="0" applyAlignment="0" applyProtection="0"/>
    <xf numFmtId="9" fontId="6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37" fontId="72" fillId="0" borderId="0"/>
    <xf numFmtId="0" fontId="33" fillId="0" borderId="39" applyNumberFormat="0" applyFill="0" applyAlignment="0" applyProtection="0"/>
  </cellStyleXfs>
  <cellXfs count="371">
    <xf numFmtId="0" fontId="0" fillId="0" borderId="0" xfId="0"/>
    <xf numFmtId="0" fontId="3" fillId="0" borderId="0" xfId="4" applyFont="1"/>
    <xf numFmtId="0" fontId="4" fillId="0" borderId="0" xfId="4" applyFont="1" applyFill="1"/>
    <xf numFmtId="0" fontId="4" fillId="0" borderId="0" xfId="4" applyFont="1"/>
    <xf numFmtId="0" fontId="3" fillId="0" borderId="0" xfId="4" applyFont="1" applyAlignment="1">
      <alignment horizontal="center"/>
    </xf>
    <xf numFmtId="0" fontId="3" fillId="0" borderId="0" xfId="4" applyFont="1" applyFill="1"/>
    <xf numFmtId="0" fontId="3" fillId="0" borderId="0" xfId="4" applyFont="1" applyFill="1" applyAlignment="1">
      <alignment horizontal="center"/>
    </xf>
    <xf numFmtId="44" fontId="3" fillId="0" borderId="0" xfId="4" applyNumberFormat="1" applyFont="1" applyFill="1"/>
    <xf numFmtId="2" fontId="3" fillId="0" borderId="0" xfId="4" applyNumberFormat="1" applyFont="1"/>
    <xf numFmtId="0" fontId="4" fillId="0" borderId="0" xfId="4" applyFont="1" applyAlignment="1">
      <alignment horizontal="center" wrapText="1"/>
    </xf>
    <xf numFmtId="0" fontId="4" fillId="0" borderId="0" xfId="4" applyFont="1" applyAlignment="1">
      <alignment horizontal="center"/>
    </xf>
    <xf numFmtId="0" fontId="4" fillId="0" borderId="0" xfId="4" applyFont="1" applyFill="1" applyAlignment="1">
      <alignment horizontal="center" wrapText="1"/>
    </xf>
    <xf numFmtId="0" fontId="5" fillId="0" borderId="0" xfId="4" applyFont="1" applyAlignment="1">
      <alignment horizontal="left"/>
    </xf>
    <xf numFmtId="0" fontId="5" fillId="0" borderId="0" xfId="4" applyFont="1" applyAlignment="1">
      <alignment horizontal="center"/>
    </xf>
    <xf numFmtId="0" fontId="6" fillId="0" borderId="0" xfId="4" applyFont="1" applyFill="1" applyAlignment="1">
      <alignment horizontal="center"/>
    </xf>
    <xf numFmtId="0" fontId="4" fillId="0" borderId="0" xfId="4" applyFont="1" applyAlignment="1">
      <alignment horizontal="left"/>
    </xf>
    <xf numFmtId="0" fontId="3" fillId="0" borderId="0" xfId="4" applyFont="1" applyBorder="1"/>
    <xf numFmtId="43" fontId="3" fillId="0" borderId="0" xfId="1" applyFont="1" applyAlignment="1">
      <alignment horizontal="center"/>
    </xf>
    <xf numFmtId="43" fontId="3" fillId="0" borderId="0" xfId="1" applyFont="1" applyFill="1"/>
    <xf numFmtId="165" fontId="3" fillId="0" borderId="0" xfId="1" applyNumberFormat="1" applyFont="1"/>
    <xf numFmtId="165" fontId="3" fillId="0" borderId="0" xfId="1" applyNumberFormat="1" applyFont="1" applyFill="1"/>
    <xf numFmtId="43" fontId="3" fillId="0" borderId="0" xfId="4" applyNumberFormat="1" applyFont="1"/>
    <xf numFmtId="165" fontId="3" fillId="0" borderId="0" xfId="4" applyNumberFormat="1" applyFont="1"/>
    <xf numFmtId="43" fontId="3" fillId="0" borderId="0" xfId="1" applyFont="1"/>
    <xf numFmtId="0" fontId="3" fillId="0" borderId="0" xfId="4" applyFont="1" applyFill="1" applyBorder="1"/>
    <xf numFmtId="43" fontId="3" fillId="0" borderId="0" xfId="1" applyFont="1" applyFill="1" applyAlignment="1">
      <alignment horizontal="center"/>
    </xf>
    <xf numFmtId="43" fontId="3" fillId="0" borderId="0" xfId="1" applyNumberFormat="1" applyFont="1" applyFill="1"/>
    <xf numFmtId="0" fontId="4" fillId="0" borderId="0" xfId="4" applyFont="1" applyBorder="1" applyAlignment="1">
      <alignment horizontal="right"/>
    </xf>
    <xf numFmtId="44" fontId="9" fillId="0" borderId="0" xfId="2" applyFont="1" applyFill="1" applyBorder="1"/>
    <xf numFmtId="166" fontId="4" fillId="0" borderId="1" xfId="2" applyNumberFormat="1" applyFont="1" applyFill="1" applyBorder="1"/>
    <xf numFmtId="44" fontId="3" fillId="0" borderId="0" xfId="2" applyFont="1" applyFill="1"/>
    <xf numFmtId="44" fontId="3" fillId="0" borderId="0" xfId="4" applyNumberFormat="1" applyFont="1" applyAlignment="1">
      <alignment horizontal="center"/>
    </xf>
    <xf numFmtId="0" fontId="6" fillId="0" borderId="0" xfId="4" applyFont="1" applyAlignment="1">
      <alignment horizontal="center"/>
    </xf>
    <xf numFmtId="43" fontId="6" fillId="0" borderId="0" xfId="4" applyNumberFormat="1" applyFont="1" applyAlignment="1">
      <alignment horizontal="center"/>
    </xf>
    <xf numFmtId="165" fontId="9" fillId="0" borderId="0" xfId="1" applyNumberFormat="1" applyFont="1" applyFill="1" applyBorder="1"/>
    <xf numFmtId="0" fontId="3" fillId="0" borderId="0" xfId="4" applyFont="1" applyFill="1" applyBorder="1" applyAlignment="1">
      <alignment horizontal="center"/>
    </xf>
    <xf numFmtId="0" fontId="4" fillId="0" borderId="0" xfId="4" applyFont="1" applyAlignment="1">
      <alignment horizontal="right"/>
    </xf>
    <xf numFmtId="165" fontId="4" fillId="0" borderId="0" xfId="1" applyNumberFormat="1" applyFont="1" applyAlignment="1">
      <alignment horizontal="right"/>
    </xf>
    <xf numFmtId="165" fontId="4" fillId="0" borderId="0" xfId="1" applyNumberFormat="1" applyFont="1"/>
    <xf numFmtId="0" fontId="34" fillId="0" borderId="0" xfId="92" applyFont="1"/>
    <xf numFmtId="0" fontId="35" fillId="0" borderId="0" xfId="92" applyFont="1"/>
    <xf numFmtId="0" fontId="34" fillId="0" borderId="0" xfId="92" applyFont="1" applyAlignment="1">
      <alignment horizontal="left"/>
    </xf>
    <xf numFmtId="17" fontId="34" fillId="0" borderId="0" xfId="92" applyNumberFormat="1" applyFont="1" applyAlignment="1">
      <alignment horizontal="center"/>
    </xf>
    <xf numFmtId="0" fontId="34" fillId="0" borderId="0" xfId="92" applyFont="1" applyAlignment="1">
      <alignment horizontal="center"/>
    </xf>
    <xf numFmtId="3" fontId="34" fillId="0" borderId="0" xfId="92" applyNumberFormat="1" applyFont="1"/>
    <xf numFmtId="3" fontId="35" fillId="0" borderId="0" xfId="92" applyNumberFormat="1" applyFont="1"/>
    <xf numFmtId="3" fontId="35" fillId="0" borderId="0" xfId="92" applyNumberFormat="1" applyFont="1" applyFill="1"/>
    <xf numFmtId="42" fontId="35" fillId="0" borderId="0" xfId="92" applyNumberFormat="1" applyFont="1"/>
    <xf numFmtId="4" fontId="34" fillId="0" borderId="0" xfId="92" applyNumberFormat="1" applyFont="1"/>
    <xf numFmtId="42" fontId="35" fillId="19" borderId="0" xfId="92" applyNumberFormat="1" applyFont="1" applyFill="1"/>
    <xf numFmtId="0" fontId="34" fillId="17" borderId="0" xfId="92" applyFont="1" applyFill="1"/>
    <xf numFmtId="3" fontId="35" fillId="17" borderId="0" xfId="92" applyNumberFormat="1" applyFont="1" applyFill="1"/>
    <xf numFmtId="0" fontId="35" fillId="17" borderId="0" xfId="92" applyFont="1" applyFill="1"/>
    <xf numFmtId="17" fontId="34" fillId="0" borderId="0" xfId="92" applyNumberFormat="1" applyFont="1" applyAlignment="1">
      <alignment horizontal="left"/>
    </xf>
    <xf numFmtId="3" fontId="34" fillId="0" borderId="0" xfId="92" applyNumberFormat="1" applyFont="1" applyFill="1"/>
    <xf numFmtId="42" fontId="34" fillId="0" borderId="0" xfId="92" applyNumberFormat="1" applyFont="1"/>
    <xf numFmtId="4" fontId="35" fillId="0" borderId="0" xfId="92" applyNumberFormat="1" applyFont="1" applyAlignment="1">
      <alignment horizontal="right"/>
    </xf>
    <xf numFmtId="4" fontId="35" fillId="0" borderId="0" xfId="92" applyNumberFormat="1" applyFont="1"/>
    <xf numFmtId="0" fontId="34" fillId="19" borderId="0" xfId="92" applyFont="1" applyFill="1"/>
    <xf numFmtId="3" fontId="35" fillId="19" borderId="0" xfId="92" applyNumberFormat="1" applyFont="1" applyFill="1"/>
    <xf numFmtId="0" fontId="35" fillId="19" borderId="0" xfId="92" applyFont="1" applyFill="1"/>
    <xf numFmtId="3" fontId="35" fillId="0" borderId="8" xfId="2" applyNumberFormat="1" applyFont="1" applyFill="1" applyBorder="1" applyAlignment="1">
      <alignment horizontal="right" wrapText="1"/>
    </xf>
    <xf numFmtId="0" fontId="34" fillId="3" borderId="0" xfId="92" applyFont="1" applyFill="1"/>
    <xf numFmtId="3" fontId="35" fillId="3" borderId="0" xfId="92" applyNumberFormat="1" applyFont="1" applyFill="1"/>
    <xf numFmtId="0" fontId="35" fillId="3" borderId="0" xfId="92" applyFont="1" applyFill="1"/>
    <xf numFmtId="42" fontId="34" fillId="19" borderId="0" xfId="92" applyNumberFormat="1" applyFont="1" applyFill="1"/>
    <xf numFmtId="44" fontId="34" fillId="0" borderId="0" xfId="92" applyNumberFormat="1" applyFont="1"/>
    <xf numFmtId="0" fontId="34" fillId="0" borderId="0" xfId="92" applyFont="1" applyBorder="1"/>
    <xf numFmtId="3" fontId="35" fillId="0" borderId="0" xfId="92" applyNumberFormat="1" applyFont="1" applyBorder="1"/>
    <xf numFmtId="0" fontId="35" fillId="0" borderId="0" xfId="92" applyFont="1" applyBorder="1"/>
    <xf numFmtId="0" fontId="36" fillId="0" borderId="0" xfId="69" applyFont="1"/>
    <xf numFmtId="0" fontId="7" fillId="0" borderId="0" xfId="69"/>
    <xf numFmtId="0" fontId="36" fillId="0" borderId="0" xfId="69" applyFont="1" applyAlignment="1">
      <alignment horizontal="center"/>
    </xf>
    <xf numFmtId="17" fontId="7" fillId="0" borderId="0" xfId="69" applyNumberFormat="1"/>
    <xf numFmtId="4" fontId="7" fillId="0" borderId="0" xfId="69" applyNumberFormat="1"/>
    <xf numFmtId="166" fontId="35" fillId="0" borderId="0" xfId="2" applyNumberFormat="1" applyFont="1"/>
    <xf numFmtId="3" fontId="35" fillId="0" borderId="0" xfId="1" applyNumberFormat="1" applyFont="1" applyFill="1" applyBorder="1" applyAlignment="1">
      <alignment horizontal="right" wrapText="1"/>
    </xf>
    <xf numFmtId="1" fontId="35" fillId="0" borderId="0" xfId="1" applyNumberFormat="1" applyFont="1" applyFill="1" applyBorder="1" applyAlignment="1">
      <alignment horizontal="right" wrapText="1"/>
    </xf>
    <xf numFmtId="166" fontId="35" fillId="0" borderId="0" xfId="2" applyNumberFormat="1" applyFont="1" applyFill="1"/>
    <xf numFmtId="166" fontId="37" fillId="0" borderId="0" xfId="2" applyNumberFormat="1" applyFont="1"/>
    <xf numFmtId="10" fontId="7" fillId="0" borderId="0" xfId="69" applyNumberFormat="1"/>
    <xf numFmtId="165" fontId="35" fillId="0" borderId="0" xfId="1" applyNumberFormat="1" applyFont="1"/>
    <xf numFmtId="0" fontId="34" fillId="0" borderId="0" xfId="92" applyFont="1" applyAlignment="1">
      <alignment horizontal="right"/>
    </xf>
    <xf numFmtId="165" fontId="34" fillId="0" borderId="0" xfId="1" applyNumberFormat="1" applyFont="1"/>
    <xf numFmtId="4" fontId="35" fillId="0" borderId="0" xfId="2" applyNumberFormat="1" applyFont="1"/>
    <xf numFmtId="0" fontId="34" fillId="0" borderId="0" xfId="2" applyNumberFormat="1" applyFont="1"/>
    <xf numFmtId="0" fontId="35" fillId="0" borderId="0" xfId="92" applyFont="1" applyAlignment="1"/>
    <xf numFmtId="4" fontId="35" fillId="0" borderId="8" xfId="1" applyNumberFormat="1" applyFont="1" applyFill="1" applyBorder="1" applyAlignment="1">
      <alignment horizontal="right" wrapText="1"/>
    </xf>
    <xf numFmtId="3" fontId="35" fillId="0" borderId="8" xfId="1" applyNumberFormat="1" applyFont="1" applyFill="1" applyBorder="1" applyAlignment="1">
      <alignment horizontal="right" wrapText="1"/>
    </xf>
    <xf numFmtId="0" fontId="35" fillId="0" borderId="0" xfId="92" applyFont="1" applyAlignment="1">
      <alignment horizontal="left" indent="1"/>
    </xf>
    <xf numFmtId="3" fontId="35" fillId="0" borderId="11" xfId="1" applyNumberFormat="1" applyFont="1" applyFill="1" applyBorder="1" applyAlignment="1">
      <alignment horizontal="right" wrapText="1"/>
    </xf>
    <xf numFmtId="10" fontId="35" fillId="0" borderId="0" xfId="1" applyNumberFormat="1" applyFont="1" applyFill="1" applyBorder="1" applyAlignment="1">
      <alignment horizontal="right" wrapText="1"/>
    </xf>
    <xf numFmtId="166" fontId="35" fillId="0" borderId="0" xfId="92" applyNumberFormat="1" applyFont="1"/>
    <xf numFmtId="166" fontId="35" fillId="0" borderId="0" xfId="92" applyNumberFormat="1" applyFont="1" applyFill="1"/>
    <xf numFmtId="3" fontId="35" fillId="0" borderId="0" xfId="2" applyNumberFormat="1" applyFont="1"/>
    <xf numFmtId="44" fontId="35" fillId="0" borderId="8" xfId="2" applyFont="1" applyFill="1" applyBorder="1" applyAlignment="1">
      <alignment horizontal="right" wrapText="1"/>
    </xf>
    <xf numFmtId="44" fontId="35" fillId="0" borderId="0" xfId="2" applyFont="1"/>
    <xf numFmtId="44" fontId="35" fillId="0" borderId="0" xfId="2" applyFont="1" applyFill="1"/>
    <xf numFmtId="0" fontId="35" fillId="0" borderId="0" xfId="92" applyFont="1" applyFill="1"/>
    <xf numFmtId="0" fontId="37" fillId="0" borderId="0" xfId="92" applyFont="1" applyAlignment="1">
      <alignment horizontal="left" indent="1"/>
    </xf>
    <xf numFmtId="44" fontId="35" fillId="0" borderId="0" xfId="92" applyNumberFormat="1" applyFont="1"/>
    <xf numFmtId="0" fontId="35" fillId="2" borderId="0" xfId="92" applyFont="1" applyFill="1"/>
    <xf numFmtId="0" fontId="35" fillId="0" borderId="0" xfId="92" applyFont="1" applyAlignment="1">
      <alignment horizontal="right"/>
    </xf>
    <xf numFmtId="43" fontId="34" fillId="0" borderId="0" xfId="1" applyFont="1"/>
    <xf numFmtId="9" fontId="35" fillId="0" borderId="0" xfId="3" applyFont="1"/>
    <xf numFmtId="0" fontId="35" fillId="0" borderId="0" xfId="92" applyFont="1" applyAlignment="1">
      <alignment horizontal="left" indent="2"/>
    </xf>
    <xf numFmtId="0" fontId="35" fillId="0" borderId="8" xfId="91" applyFont="1" applyFill="1" applyBorder="1" applyAlignment="1">
      <alignment horizontal="right" wrapText="1"/>
    </xf>
    <xf numFmtId="43" fontId="35" fillId="0" borderId="0" xfId="92" applyNumberFormat="1" applyFont="1"/>
    <xf numFmtId="0" fontId="39" fillId="0" borderId="0" xfId="92" applyFont="1"/>
    <xf numFmtId="165" fontId="4" fillId="0" borderId="1" xfId="1" applyNumberFormat="1" applyFont="1" applyFill="1" applyBorder="1"/>
    <xf numFmtId="10" fontId="3" fillId="0" borderId="0" xfId="3" applyNumberFormat="1" applyFont="1"/>
    <xf numFmtId="165" fontId="4" fillId="0" borderId="12" xfId="4" applyNumberFormat="1" applyFont="1" applyBorder="1"/>
    <xf numFmtId="0" fontId="35" fillId="0" borderId="3" xfId="92" applyFont="1" applyBorder="1"/>
    <xf numFmtId="0" fontId="35" fillId="0" borderId="13" xfId="92" applyFont="1" applyBorder="1"/>
    <xf numFmtId="0" fontId="35" fillId="0" borderId="14" xfId="92" applyFont="1" applyBorder="1"/>
    <xf numFmtId="0" fontId="35" fillId="0" borderId="15" xfId="92" applyFont="1" applyBorder="1"/>
    <xf numFmtId="0" fontId="34" fillId="0" borderId="16" xfId="92" applyFont="1" applyBorder="1"/>
    <xf numFmtId="0" fontId="34" fillId="0" borderId="0" xfId="92" applyFont="1" applyBorder="1" applyAlignment="1">
      <alignment horizontal="right"/>
    </xf>
    <xf numFmtId="165" fontId="35" fillId="0" borderId="0" xfId="1" applyNumberFormat="1" applyFont="1" applyBorder="1"/>
    <xf numFmtId="0" fontId="34" fillId="0" borderId="17" xfId="92" applyFont="1" applyBorder="1"/>
    <xf numFmtId="0" fontId="35" fillId="0" borderId="16" xfId="92" applyFont="1" applyBorder="1"/>
    <xf numFmtId="0" fontId="35" fillId="0" borderId="17" xfId="92" applyFont="1" applyBorder="1"/>
    <xf numFmtId="0" fontId="35" fillId="0" borderId="0" xfId="92" applyFont="1" applyBorder="1" applyAlignment="1">
      <alignment horizontal="right"/>
    </xf>
    <xf numFmtId="17" fontId="34" fillId="0" borderId="16" xfId="92" applyNumberFormat="1" applyFont="1" applyBorder="1" applyAlignment="1">
      <alignment horizontal="center"/>
    </xf>
    <xf numFmtId="17" fontId="34" fillId="0" borderId="0" xfId="92" applyNumberFormat="1" applyFont="1" applyBorder="1" applyAlignment="1">
      <alignment horizontal="center"/>
    </xf>
    <xf numFmtId="17" fontId="34" fillId="0" borderId="17" xfId="92" applyNumberFormat="1" applyFont="1" applyBorder="1" applyAlignment="1">
      <alignment horizontal="center"/>
    </xf>
    <xf numFmtId="43" fontId="34" fillId="0" borderId="0" xfId="1" applyFont="1" applyBorder="1"/>
    <xf numFmtId="10" fontId="35" fillId="0" borderId="0" xfId="3" applyNumberFormat="1" applyFont="1" applyBorder="1"/>
    <xf numFmtId="3" fontId="34" fillId="0" borderId="16" xfId="92" applyNumberFormat="1" applyFont="1" applyBorder="1"/>
    <xf numFmtId="3" fontId="34" fillId="0" borderId="0" xfId="92" applyNumberFormat="1" applyFont="1" applyBorder="1"/>
    <xf numFmtId="3" fontId="34" fillId="0" borderId="17" xfId="92" applyNumberFormat="1" applyFont="1" applyBorder="1"/>
    <xf numFmtId="43" fontId="35" fillId="0" borderId="0" xfId="92" applyNumberFormat="1" applyFont="1" applyBorder="1"/>
    <xf numFmtId="43" fontId="34" fillId="0" borderId="0" xfId="92" applyNumberFormat="1" applyFont="1" applyBorder="1"/>
    <xf numFmtId="0" fontId="35" fillId="0" borderId="18" xfId="92" applyFont="1" applyBorder="1"/>
    <xf numFmtId="0" fontId="35" fillId="0" borderId="9" xfId="92" applyFont="1" applyBorder="1"/>
    <xf numFmtId="0" fontId="35" fillId="0" borderId="19" xfId="92" applyFont="1" applyBorder="1"/>
    <xf numFmtId="167" fontId="3" fillId="0" borderId="0" xfId="4" applyNumberFormat="1" applyFont="1"/>
    <xf numFmtId="168" fontId="4" fillId="0" borderId="0" xfId="4" applyNumberFormat="1" applyFont="1"/>
    <xf numFmtId="43" fontId="3" fillId="0" borderId="0" xfId="1" applyNumberFormat="1" applyFont="1"/>
    <xf numFmtId="0" fontId="59" fillId="0" borderId="0" xfId="370" applyFont="1"/>
    <xf numFmtId="0" fontId="60" fillId="0" borderId="0" xfId="370" applyFont="1"/>
    <xf numFmtId="0" fontId="60" fillId="0" borderId="0" xfId="370" applyFont="1" applyAlignment="1">
      <alignment horizontal="center"/>
    </xf>
    <xf numFmtId="0" fontId="59" fillId="0" borderId="0" xfId="370" applyFont="1" applyAlignment="1">
      <alignment horizontal="center"/>
    </xf>
    <xf numFmtId="0" fontId="59" fillId="0" borderId="0" xfId="370" applyFont="1" applyFill="1"/>
    <xf numFmtId="4" fontId="59" fillId="0" borderId="0" xfId="370" applyNumberFormat="1" applyFont="1" applyFill="1"/>
    <xf numFmtId="4" fontId="59" fillId="0" borderId="0" xfId="370" applyNumberFormat="1" applyFont="1"/>
    <xf numFmtId="43" fontId="59" fillId="0" borderId="0" xfId="370" applyNumberFormat="1" applyFont="1"/>
    <xf numFmtId="43" fontId="59" fillId="0" borderId="0" xfId="370" applyNumberFormat="1" applyFont="1" applyAlignment="1">
      <alignment horizontal="right"/>
    </xf>
    <xf numFmtId="0" fontId="61" fillId="0" borderId="0" xfId="0" applyFont="1"/>
    <xf numFmtId="43" fontId="62" fillId="0" borderId="0" xfId="1" applyFont="1"/>
    <xf numFmtId="0" fontId="62" fillId="0" borderId="0" xfId="0" applyFont="1"/>
    <xf numFmtId="0" fontId="4" fillId="0" borderId="0" xfId="4" applyFont="1" applyFill="1" applyAlignment="1">
      <alignment horizontal="center"/>
    </xf>
    <xf numFmtId="0" fontId="5" fillId="0" borderId="0" xfId="4" applyFont="1" applyFill="1" applyAlignment="1">
      <alignment horizontal="left"/>
    </xf>
    <xf numFmtId="0" fontId="4" fillId="0" borderId="0" xfId="4" applyFont="1" applyFill="1" applyAlignment="1">
      <alignment horizontal="left"/>
    </xf>
    <xf numFmtId="0" fontId="5" fillId="0" borderId="0" xfId="4" applyFont="1"/>
    <xf numFmtId="0" fontId="63" fillId="0" borderId="0" xfId="0" applyFont="1" applyBorder="1" applyAlignment="1">
      <alignment horizontal="left" wrapText="1"/>
    </xf>
    <xf numFmtId="0" fontId="63" fillId="0" borderId="0" xfId="0" applyFont="1" applyFill="1" applyBorder="1" applyAlignment="1">
      <alignment horizontal="left" wrapText="1"/>
    </xf>
    <xf numFmtId="0" fontId="64" fillId="0" borderId="0" xfId="0" applyFont="1"/>
    <xf numFmtId="0" fontId="64" fillId="0" borderId="0" xfId="0" applyFont="1" applyAlignment="1">
      <alignment horizontal="center"/>
    </xf>
    <xf numFmtId="17" fontId="0" fillId="0" borderId="0" xfId="0" applyNumberFormat="1"/>
    <xf numFmtId="43" fontId="0" fillId="0" borderId="0" xfId="182" applyFont="1"/>
    <xf numFmtId="43" fontId="0" fillId="0" borderId="0" xfId="0" applyNumberFormat="1"/>
    <xf numFmtId="43" fontId="0" fillId="0" borderId="0" xfId="1" applyFont="1"/>
    <xf numFmtId="169" fontId="0" fillId="0" borderId="0" xfId="1" applyNumberFormat="1" applyFont="1"/>
    <xf numFmtId="0" fontId="64" fillId="0" borderId="3" xfId="0" applyFont="1" applyBorder="1" applyAlignment="1">
      <alignment horizontal="center"/>
    </xf>
    <xf numFmtId="165" fontId="0" fillId="0" borderId="0" xfId="0" applyNumberFormat="1"/>
    <xf numFmtId="0" fontId="0" fillId="0" borderId="0" xfId="0" applyAlignment="1">
      <alignment horizontal="right"/>
    </xf>
    <xf numFmtId="0" fontId="0" fillId="0" borderId="3" xfId="0" applyBorder="1"/>
    <xf numFmtId="0" fontId="64" fillId="0" borderId="0" xfId="0" applyFont="1" applyAlignment="1">
      <alignment horizontal="right"/>
    </xf>
    <xf numFmtId="44" fontId="0" fillId="0" borderId="0" xfId="2" applyFont="1"/>
    <xf numFmtId="0" fontId="63" fillId="33" borderId="0" xfId="0" applyFont="1" applyFill="1" applyBorder="1" applyAlignment="1">
      <alignment horizontal="left" wrapText="1"/>
    </xf>
    <xf numFmtId="0" fontId="3" fillId="33" borderId="0" xfId="4" applyFont="1" applyFill="1" applyAlignment="1">
      <alignment horizontal="center"/>
    </xf>
    <xf numFmtId="0" fontId="3" fillId="33" borderId="0" xfId="4" applyFont="1" applyFill="1"/>
    <xf numFmtId="165" fontId="3" fillId="33" borderId="0" xfId="1" applyNumberFormat="1" applyFont="1" applyFill="1"/>
    <xf numFmtId="43" fontId="3" fillId="33" borderId="0" xfId="1" applyFont="1" applyFill="1"/>
    <xf numFmtId="0" fontId="62" fillId="0" borderId="0" xfId="0" applyFont="1" applyFill="1"/>
    <xf numFmtId="0" fontId="65" fillId="0" borderId="0" xfId="4" quotePrefix="1" applyFont="1" applyFill="1" applyAlignment="1">
      <alignment horizontal="center"/>
    </xf>
    <xf numFmtId="0" fontId="65" fillId="0" borderId="0" xfId="4" applyFont="1"/>
    <xf numFmtId="0" fontId="3" fillId="0" borderId="13" xfId="4" applyFont="1" applyBorder="1"/>
    <xf numFmtId="0" fontId="4" fillId="0" borderId="14" xfId="4" applyFont="1" applyBorder="1" applyAlignment="1">
      <alignment horizontal="center"/>
    </xf>
    <xf numFmtId="0" fontId="3" fillId="0" borderId="15" xfId="4" applyFont="1" applyBorder="1"/>
    <xf numFmtId="0" fontId="3" fillId="0" borderId="18" xfId="4" applyFont="1" applyBorder="1"/>
    <xf numFmtId="0" fontId="4" fillId="0" borderId="9" xfId="4" applyFont="1" applyBorder="1"/>
    <xf numFmtId="0" fontId="3" fillId="0" borderId="19" xfId="4" applyFont="1" applyBorder="1"/>
    <xf numFmtId="0" fontId="0" fillId="0" borderId="0" xfId="0" applyBorder="1"/>
    <xf numFmtId="44" fontId="64" fillId="0" borderId="0" xfId="2" applyFont="1"/>
    <xf numFmtId="0" fontId="0" fillId="0" borderId="0" xfId="0" applyFont="1"/>
    <xf numFmtId="0" fontId="0" fillId="0" borderId="3" xfId="0" applyFont="1" applyBorder="1" applyAlignment="1">
      <alignment horizontal="center"/>
    </xf>
    <xf numFmtId="0" fontId="0" fillId="0" borderId="3" xfId="0" applyFont="1" applyFill="1" applyBorder="1" applyAlignment="1">
      <alignment horizontal="center"/>
    </xf>
    <xf numFmtId="43" fontId="0" fillId="0" borderId="0" xfId="0" applyNumberFormat="1" applyFont="1" applyBorder="1" applyAlignment="1">
      <alignment horizontal="center"/>
    </xf>
    <xf numFmtId="43" fontId="0" fillId="0" borderId="0" xfId="0" applyNumberFormat="1" applyFont="1"/>
    <xf numFmtId="43" fontId="0" fillId="0" borderId="0" xfId="182" applyFont="1" applyAlignment="1">
      <alignment horizontal="center"/>
    </xf>
    <xf numFmtId="0" fontId="0" fillId="0" borderId="0" xfId="0" applyFont="1" applyAlignment="1">
      <alignment horizontal="left" indent="1"/>
    </xf>
    <xf numFmtId="165" fontId="0" fillId="0" borderId="0" xfId="182" applyNumberFormat="1" applyFont="1"/>
    <xf numFmtId="0" fontId="0" fillId="35" borderId="0" xfId="0" applyFont="1" applyFill="1" applyAlignment="1">
      <alignment horizontal="center"/>
    </xf>
    <xf numFmtId="0" fontId="66" fillId="0" borderId="0" xfId="0" applyFont="1" applyFill="1"/>
    <xf numFmtId="0" fontId="66" fillId="0" borderId="0" xfId="0" applyFont="1" applyFill="1" applyAlignment="1">
      <alignment horizontal="center"/>
    </xf>
    <xf numFmtId="0" fontId="64" fillId="34" borderId="3" xfId="0" applyFont="1" applyFill="1" applyBorder="1"/>
    <xf numFmtId="0" fontId="0" fillId="34" borderId="3" xfId="0" applyFont="1" applyFill="1" applyBorder="1" applyAlignment="1">
      <alignment horizontal="center"/>
    </xf>
    <xf numFmtId="0" fontId="0" fillId="0" borderId="0" xfId="0" applyFont="1" applyAlignment="1">
      <alignment horizontal="left"/>
    </xf>
    <xf numFmtId="171" fontId="0" fillId="0" borderId="0" xfId="182" applyNumberFormat="1" applyFont="1"/>
    <xf numFmtId="171" fontId="0" fillId="0" borderId="0" xfId="182" applyNumberFormat="1" applyFont="1" applyBorder="1"/>
    <xf numFmtId="171" fontId="0" fillId="0" borderId="3" xfId="182" applyNumberFormat="1" applyFont="1" applyBorder="1"/>
    <xf numFmtId="173" fontId="0" fillId="0" borderId="0" xfId="0" applyNumberFormat="1" applyFont="1"/>
    <xf numFmtId="44" fontId="0" fillId="0" borderId="0" xfId="0" applyNumberFormat="1" applyFont="1"/>
    <xf numFmtId="174" fontId="0" fillId="0" borderId="0" xfId="0" applyNumberFormat="1" applyFont="1"/>
    <xf numFmtId="165" fontId="0" fillId="0" borderId="3" xfId="182" applyNumberFormat="1" applyFont="1" applyBorder="1"/>
    <xf numFmtId="44" fontId="64" fillId="0" borderId="0" xfId="0" applyNumberFormat="1" applyFont="1"/>
    <xf numFmtId="0" fontId="64" fillId="0" borderId="13" xfId="0" applyFont="1" applyBorder="1"/>
    <xf numFmtId="0" fontId="0" fillId="34" borderId="35" xfId="0" applyFont="1" applyFill="1" applyBorder="1" applyAlignment="1">
      <alignment horizontal="center"/>
    </xf>
    <xf numFmtId="0" fontId="0" fillId="0" borderId="16" xfId="0" applyFont="1" applyBorder="1"/>
    <xf numFmtId="44" fontId="0" fillId="0" borderId="17" xfId="190" applyFont="1" applyBorder="1"/>
    <xf numFmtId="0" fontId="0" fillId="0" borderId="17" xfId="0" applyFont="1" applyBorder="1"/>
    <xf numFmtId="0" fontId="64" fillId="0" borderId="16" xfId="0" applyFont="1" applyBorder="1"/>
    <xf numFmtId="0" fontId="0" fillId="34" borderId="36" xfId="0" applyFont="1" applyFill="1" applyBorder="1" applyAlignment="1">
      <alignment horizontal="center"/>
    </xf>
    <xf numFmtId="44" fontId="1" fillId="0" borderId="17" xfId="190" applyFont="1" applyBorder="1"/>
    <xf numFmtId="0" fontId="0" fillId="0" borderId="18" xfId="0" applyFont="1" applyBorder="1" applyAlignment="1">
      <alignment horizontal="left"/>
    </xf>
    <xf numFmtId="44" fontId="0" fillId="0" borderId="19" xfId="190" applyFont="1" applyBorder="1"/>
    <xf numFmtId="0" fontId="64" fillId="34" borderId="3" xfId="0" applyFont="1" applyFill="1" applyBorder="1" applyAlignment="1">
      <alignment horizontal="center" wrapText="1"/>
    </xf>
    <xf numFmtId="0" fontId="64" fillId="34" borderId="3" xfId="0" applyFont="1" applyFill="1" applyBorder="1" applyAlignment="1">
      <alignment horizontal="center" vertical="center"/>
    </xf>
    <xf numFmtId="165" fontId="64" fillId="34" borderId="3" xfId="383" applyNumberFormat="1" applyFont="1" applyFill="1" applyBorder="1" applyAlignment="1">
      <alignment horizontal="center" wrapText="1"/>
    </xf>
    <xf numFmtId="0" fontId="0" fillId="0" borderId="0" xfId="0" applyFont="1" applyBorder="1"/>
    <xf numFmtId="0" fontId="0" fillId="0" borderId="40" xfId="0" applyFont="1" applyFill="1" applyBorder="1" applyAlignment="1">
      <alignment horizontal="center" vertical="center"/>
    </xf>
    <xf numFmtId="0" fontId="73" fillId="0" borderId="40" xfId="398" applyFont="1" applyBorder="1"/>
    <xf numFmtId="4" fontId="1" fillId="0" borderId="40" xfId="0" applyNumberFormat="1" applyFont="1" applyBorder="1"/>
    <xf numFmtId="43" fontId="0" fillId="0" borderId="40" xfId="383" applyNumberFormat="1" applyFont="1" applyFill="1" applyBorder="1"/>
    <xf numFmtId="165" fontId="0" fillId="0" borderId="40" xfId="383" applyNumberFormat="1" applyFont="1" applyFill="1" applyBorder="1"/>
    <xf numFmtId="165" fontId="0" fillId="0" borderId="40" xfId="383" applyNumberFormat="1" applyFont="1" applyFill="1" applyBorder="1" applyAlignment="1">
      <alignment horizontal="center" wrapText="1"/>
    </xf>
    <xf numFmtId="44" fontId="0" fillId="0" borderId="40" xfId="387" applyFont="1" applyFill="1" applyBorder="1"/>
    <xf numFmtId="44" fontId="0" fillId="0" borderId="40" xfId="387" applyFont="1" applyBorder="1"/>
    <xf numFmtId="0" fontId="0" fillId="0" borderId="0" xfId="0" applyFont="1" applyFill="1" applyBorder="1"/>
    <xf numFmtId="0" fontId="0" fillId="0" borderId="0" xfId="0" applyFont="1" applyFill="1" applyBorder="1" applyAlignment="1">
      <alignment horizontal="center" vertical="center"/>
    </xf>
    <xf numFmtId="0" fontId="73" fillId="0" borderId="0" xfId="398" applyFont="1" applyBorder="1"/>
    <xf numFmtId="4" fontId="1" fillId="0" borderId="0" xfId="0" applyNumberFormat="1" applyFont="1" applyBorder="1"/>
    <xf numFmtId="43" fontId="0" fillId="0" borderId="0" xfId="383" applyNumberFormat="1" applyFont="1" applyFill="1" applyBorder="1"/>
    <xf numFmtId="165" fontId="0" fillId="0" borderId="0" xfId="383" applyNumberFormat="1" applyFont="1" applyFill="1" applyBorder="1"/>
    <xf numFmtId="165" fontId="0" fillId="0" borderId="0" xfId="383" applyNumberFormat="1" applyFont="1" applyFill="1" applyBorder="1" applyAlignment="1">
      <alignment horizontal="center" wrapText="1"/>
    </xf>
    <xf numFmtId="44" fontId="0" fillId="0" borderId="0" xfId="387" applyFont="1" applyFill="1" applyBorder="1"/>
    <xf numFmtId="44" fontId="0" fillId="0" borderId="0" xfId="387" applyFont="1" applyBorder="1"/>
    <xf numFmtId="165" fontId="73" fillId="0" borderId="0" xfId="383" applyNumberFormat="1" applyFont="1" applyFill="1" applyBorder="1"/>
    <xf numFmtId="0" fontId="0" fillId="0" borderId="3" xfId="0" applyFont="1" applyFill="1" applyBorder="1" applyAlignment="1">
      <alignment horizontal="center" vertical="center" textRotation="90"/>
    </xf>
    <xf numFmtId="0" fontId="0" fillId="0" borderId="3" xfId="0" applyFont="1" applyFill="1" applyBorder="1" applyAlignment="1">
      <alignment horizontal="center" vertical="center"/>
    </xf>
    <xf numFmtId="0" fontId="73" fillId="0" borderId="3" xfId="398" applyFont="1" applyBorder="1"/>
    <xf numFmtId="4" fontId="1" fillId="0" borderId="3" xfId="0" applyNumberFormat="1" applyFont="1" applyBorder="1"/>
    <xf numFmtId="43" fontId="0" fillId="0" borderId="3" xfId="383" applyNumberFormat="1" applyFont="1" applyFill="1" applyBorder="1"/>
    <xf numFmtId="165" fontId="0" fillId="0" borderId="3" xfId="383" applyNumberFormat="1" applyFont="1" applyFill="1" applyBorder="1" applyAlignment="1">
      <alignment horizontal="center" wrapText="1"/>
    </xf>
    <xf numFmtId="44" fontId="0" fillId="0" borderId="3" xfId="387" applyFont="1" applyFill="1" applyBorder="1"/>
    <xf numFmtId="44" fontId="0" fillId="0" borderId="3" xfId="387" applyFont="1" applyBorder="1"/>
    <xf numFmtId="0" fontId="0" fillId="34" borderId="3" xfId="0" applyFont="1" applyFill="1" applyBorder="1" applyAlignment="1">
      <alignment vertical="center" textRotation="90"/>
    </xf>
    <xf numFmtId="0" fontId="0" fillId="34" borderId="3" xfId="0" applyFont="1" applyFill="1" applyBorder="1" applyAlignment="1">
      <alignment horizontal="center" vertical="center"/>
    </xf>
    <xf numFmtId="0" fontId="74" fillId="34" borderId="3" xfId="399" applyFont="1" applyFill="1" applyBorder="1" applyAlignment="1">
      <alignment horizontal="left"/>
    </xf>
    <xf numFmtId="3" fontId="64" fillId="34" borderId="3" xfId="0" applyNumberFormat="1" applyFont="1" applyFill="1" applyBorder="1" applyAlignment="1">
      <alignment horizontal="right"/>
    </xf>
    <xf numFmtId="43" fontId="0" fillId="34" borderId="3" xfId="383" applyFont="1" applyFill="1" applyBorder="1"/>
    <xf numFmtId="43" fontId="0" fillId="34" borderId="3" xfId="0" applyNumberFormat="1" applyFont="1" applyFill="1" applyBorder="1"/>
    <xf numFmtId="44" fontId="0" fillId="34" borderId="3" xfId="387" applyFont="1" applyFill="1" applyBorder="1"/>
    <xf numFmtId="44" fontId="64" fillId="34" borderId="3" xfId="387" applyFont="1" applyFill="1" applyBorder="1"/>
    <xf numFmtId="165" fontId="0" fillId="0" borderId="0" xfId="383" applyNumberFormat="1" applyFont="1" applyBorder="1"/>
    <xf numFmtId="0" fontId="0" fillId="0" borderId="0" xfId="0" applyFont="1" applyBorder="1" applyAlignment="1">
      <alignment horizontal="center"/>
    </xf>
    <xf numFmtId="165" fontId="64" fillId="0" borderId="0" xfId="383" applyNumberFormat="1" applyFont="1" applyBorder="1" applyAlignment="1">
      <alignment horizontal="right"/>
    </xf>
    <xf numFmtId="0" fontId="0" fillId="0" borderId="0" xfId="0" applyFont="1" applyBorder="1" applyAlignment="1">
      <alignment horizontal="right"/>
    </xf>
    <xf numFmtId="44" fontId="0" fillId="0" borderId="0" xfId="383" applyNumberFormat="1" applyFont="1" applyFill="1" applyBorder="1"/>
    <xf numFmtId="166" fontId="0" fillId="0" borderId="0" xfId="0" applyNumberFormat="1" applyFont="1" applyBorder="1"/>
    <xf numFmtId="0" fontId="0" fillId="42" borderId="0" xfId="0" applyFont="1" applyFill="1" applyBorder="1"/>
    <xf numFmtId="0" fontId="0" fillId="42" borderId="0" xfId="0" applyFont="1" applyFill="1" applyBorder="1" applyAlignment="1">
      <alignment horizontal="center"/>
    </xf>
    <xf numFmtId="0" fontId="64" fillId="42" borderId="0" xfId="0" applyFont="1" applyFill="1" applyBorder="1"/>
    <xf numFmtId="0" fontId="0" fillId="42" borderId="0" xfId="0" applyFont="1" applyFill="1" applyBorder="1" applyAlignment="1">
      <alignment horizontal="right"/>
    </xf>
    <xf numFmtId="165" fontId="0" fillId="42" borderId="0" xfId="383" applyNumberFormat="1" applyFont="1" applyFill="1" applyBorder="1"/>
    <xf numFmtId="44" fontId="0" fillId="42" borderId="0" xfId="383" applyNumberFormat="1" applyFont="1" applyFill="1" applyBorder="1"/>
    <xf numFmtId="165" fontId="1" fillId="0" borderId="0" xfId="383" applyNumberFormat="1" applyFont="1" applyFill="1" applyBorder="1"/>
    <xf numFmtId="165" fontId="0" fillId="0" borderId="3" xfId="383" applyNumberFormat="1" applyFont="1" applyFill="1" applyBorder="1"/>
    <xf numFmtId="165" fontId="0" fillId="0" borderId="3" xfId="383" applyNumberFormat="1" applyFont="1" applyBorder="1"/>
    <xf numFmtId="0" fontId="0" fillId="0" borderId="0" xfId="0" applyFont="1" applyFill="1" applyBorder="1" applyAlignment="1">
      <alignment vertical="center" textRotation="90"/>
    </xf>
    <xf numFmtId="0" fontId="73" fillId="0" borderId="0" xfId="336" applyFont="1" applyBorder="1" applyAlignment="1">
      <alignment horizontal="left"/>
    </xf>
    <xf numFmtId="43" fontId="0" fillId="0" borderId="0" xfId="383" applyFont="1" applyBorder="1" applyAlignment="1">
      <alignment horizontal="right"/>
    </xf>
    <xf numFmtId="43" fontId="0" fillId="0" borderId="0" xfId="383" applyFont="1" applyFill="1" applyBorder="1"/>
    <xf numFmtId="0" fontId="66" fillId="0" borderId="0" xfId="336" applyFont="1" applyBorder="1" applyAlignment="1">
      <alignment horizontal="left"/>
    </xf>
    <xf numFmtId="0" fontId="0" fillId="0" borderId="0" xfId="0" applyFont="1" applyFill="1" applyBorder="1" applyAlignment="1"/>
    <xf numFmtId="165" fontId="64" fillId="0" borderId="3" xfId="383" applyNumberFormat="1" applyFont="1" applyBorder="1" applyAlignment="1">
      <alignment horizontal="center"/>
    </xf>
    <xf numFmtId="0" fontId="64" fillId="0" borderId="0" xfId="0" applyFont="1" applyBorder="1" applyAlignment="1">
      <alignment horizontal="center"/>
    </xf>
    <xf numFmtId="0" fontId="0" fillId="35" borderId="0" xfId="0" applyFont="1" applyFill="1" applyBorder="1" applyAlignment="1">
      <alignment horizontal="left"/>
    </xf>
    <xf numFmtId="43" fontId="0" fillId="0" borderId="0" xfId="0" applyNumberFormat="1" applyFont="1" applyBorder="1"/>
    <xf numFmtId="165" fontId="73" fillId="0" borderId="0" xfId="383" applyNumberFormat="1" applyFont="1" applyFill="1" applyBorder="1" applyAlignment="1">
      <alignment horizontal="left"/>
    </xf>
    <xf numFmtId="0" fontId="66" fillId="0" borderId="0" xfId="399" applyFont="1" applyFill="1" applyBorder="1" applyAlignment="1">
      <alignment horizontal="left"/>
    </xf>
    <xf numFmtId="165" fontId="0" fillId="0" borderId="0" xfId="383" applyNumberFormat="1" applyFont="1" applyBorder="1" applyAlignment="1">
      <alignment horizontal="right"/>
    </xf>
    <xf numFmtId="0" fontId="75" fillId="0" borderId="0" xfId="383" applyNumberFormat="1" applyFont="1" applyBorder="1" applyAlignment="1">
      <alignment horizontal="left"/>
    </xf>
    <xf numFmtId="0" fontId="0" fillId="0" borderId="0" xfId="383" applyNumberFormat="1" applyFont="1" applyBorder="1"/>
    <xf numFmtId="0" fontId="0" fillId="0" borderId="0" xfId="0" applyFont="1" applyBorder="1" applyAlignment="1">
      <alignment horizontal="left"/>
    </xf>
    <xf numFmtId="10" fontId="0" fillId="0" borderId="0" xfId="343" applyNumberFormat="1" applyFont="1" applyBorder="1" applyAlignment="1">
      <alignment horizontal="right"/>
    </xf>
    <xf numFmtId="10" fontId="0" fillId="0" borderId="0" xfId="343" applyNumberFormat="1" applyFont="1" applyBorder="1"/>
    <xf numFmtId="0" fontId="0" fillId="0" borderId="0" xfId="0" applyFont="1" applyBorder="1" applyAlignment="1">
      <alignment horizontal="right" wrapText="1"/>
    </xf>
    <xf numFmtId="0" fontId="0" fillId="0" borderId="0" xfId="0" applyFont="1" applyBorder="1" applyAlignment="1">
      <alignment horizontal="center" wrapText="1"/>
    </xf>
    <xf numFmtId="0" fontId="73" fillId="0" borderId="0" xfId="399" applyFont="1" applyFill="1" applyBorder="1" applyAlignment="1">
      <alignment horizontal="left"/>
    </xf>
    <xf numFmtId="43" fontId="0" fillId="0" borderId="0" xfId="383" applyFont="1" applyBorder="1"/>
    <xf numFmtId="44" fontId="0" fillId="0" borderId="0" xfId="0" applyNumberFormat="1" applyFont="1" applyBorder="1"/>
    <xf numFmtId="166" fontId="0" fillId="0" borderId="0" xfId="387" applyNumberFormat="1" applyFont="1" applyBorder="1"/>
    <xf numFmtId="44" fontId="0" fillId="0" borderId="0" xfId="387" applyFont="1" applyBorder="1" applyAlignment="1">
      <alignment horizontal="right"/>
    </xf>
    <xf numFmtId="170" fontId="0" fillId="0" borderId="0" xfId="387" applyNumberFormat="1" applyFont="1" applyBorder="1"/>
    <xf numFmtId="43" fontId="0" fillId="0" borderId="3" xfId="0" applyNumberFormat="1" applyFont="1" applyBorder="1"/>
    <xf numFmtId="165" fontId="0" fillId="0" borderId="0" xfId="0" applyNumberFormat="1" applyFont="1" applyBorder="1"/>
    <xf numFmtId="0" fontId="0" fillId="41" borderId="0" xfId="0" applyFont="1" applyFill="1" applyBorder="1" applyAlignment="1">
      <alignment horizontal="center" vertical="center"/>
    </xf>
    <xf numFmtId="43" fontId="0" fillId="0" borderId="0" xfId="383" applyNumberFormat="1" applyFont="1" applyBorder="1" applyAlignment="1">
      <alignment horizontal="right"/>
    </xf>
    <xf numFmtId="165" fontId="0" fillId="35" borderId="0" xfId="383" applyNumberFormat="1" applyFont="1" applyFill="1" applyBorder="1"/>
    <xf numFmtId="44" fontId="64" fillId="43" borderId="3" xfId="387" applyFont="1" applyFill="1" applyBorder="1"/>
    <xf numFmtId="44" fontId="0" fillId="0" borderId="0" xfId="0" applyNumberFormat="1" applyFont="1" applyFill="1" applyBorder="1"/>
    <xf numFmtId="0" fontId="73" fillId="0" borderId="0" xfId="398" applyFont="1" applyFill="1" applyBorder="1"/>
    <xf numFmtId="44" fontId="0" fillId="0" borderId="0" xfId="387" applyNumberFormat="1" applyFont="1" applyFill="1" applyBorder="1"/>
    <xf numFmtId="165" fontId="1" fillId="0" borderId="3" xfId="383" applyNumberFormat="1" applyFont="1" applyFill="1" applyBorder="1"/>
    <xf numFmtId="165" fontId="66" fillId="0" borderId="0" xfId="0" applyNumberFormat="1" applyFont="1" applyFill="1" applyBorder="1"/>
    <xf numFmtId="165" fontId="0" fillId="0" borderId="0" xfId="383" applyNumberFormat="1" applyFont="1" applyFill="1" applyBorder="1" applyAlignment="1">
      <alignment horizontal="right"/>
    </xf>
    <xf numFmtId="0" fontId="0" fillId="0" borderId="0" xfId="0" applyFont="1" applyFill="1" applyBorder="1" applyAlignment="1">
      <alignment horizontal="left"/>
    </xf>
    <xf numFmtId="0" fontId="0" fillId="0" borderId="40" xfId="0" applyFont="1" applyBorder="1" applyAlignment="1">
      <alignment vertical="center" textRotation="90"/>
    </xf>
    <xf numFmtId="0" fontId="0" fillId="0" borderId="0" xfId="0" applyFont="1" applyBorder="1" applyAlignment="1">
      <alignment vertical="center" textRotation="90"/>
    </xf>
    <xf numFmtId="0" fontId="0" fillId="0" borderId="40" xfId="0" applyFont="1" applyBorder="1" applyAlignment="1">
      <alignment horizontal="center"/>
    </xf>
    <xf numFmtId="0" fontId="0" fillId="0" borderId="40" xfId="0" applyFont="1" applyBorder="1"/>
    <xf numFmtId="0" fontId="0" fillId="0" borderId="40" xfId="0" applyFont="1" applyBorder="1" applyAlignment="1">
      <alignment horizontal="right"/>
    </xf>
    <xf numFmtId="165" fontId="73" fillId="0" borderId="40" xfId="383" applyNumberFormat="1" applyFont="1" applyFill="1" applyBorder="1"/>
    <xf numFmtId="0" fontId="74" fillId="0" borderId="12" xfId="399" applyFont="1" applyFill="1" applyBorder="1" applyAlignment="1">
      <alignment horizontal="left"/>
    </xf>
    <xf numFmtId="165" fontId="64" fillId="0" borderId="12" xfId="383" applyNumberFormat="1" applyFont="1" applyBorder="1" applyAlignment="1">
      <alignment horizontal="right"/>
    </xf>
    <xf numFmtId="44" fontId="0" fillId="0" borderId="12" xfId="387" applyFont="1" applyFill="1" applyBorder="1"/>
    <xf numFmtId="165" fontId="64" fillId="43" borderId="12" xfId="383" applyNumberFormat="1" applyFont="1" applyFill="1" applyBorder="1" applyAlignment="1">
      <alignment horizontal="right"/>
    </xf>
    <xf numFmtId="44" fontId="64" fillId="0" borderId="12" xfId="387" applyFont="1" applyBorder="1" applyAlignment="1">
      <alignment horizontal="right"/>
    </xf>
    <xf numFmtId="0" fontId="64" fillId="34" borderId="3" xfId="0" applyFont="1" applyFill="1" applyBorder="1" applyAlignment="1">
      <alignment horizontal="center"/>
    </xf>
    <xf numFmtId="44" fontId="0" fillId="44" borderId="0" xfId="190" applyFont="1" applyFill="1"/>
    <xf numFmtId="170" fontId="0" fillId="44" borderId="0" xfId="190" applyNumberFormat="1" applyFont="1" applyFill="1"/>
    <xf numFmtId="44" fontId="0" fillId="44" borderId="3" xfId="190" applyFont="1" applyFill="1" applyBorder="1"/>
    <xf numFmtId="170" fontId="0" fillId="44" borderId="3" xfId="190" applyNumberFormat="1" applyFont="1" applyFill="1" applyBorder="1"/>
    <xf numFmtId="172" fontId="0" fillId="44" borderId="0" xfId="190" applyNumberFormat="1" applyFont="1" applyFill="1"/>
    <xf numFmtId="0" fontId="0" fillId="0" borderId="0" xfId="0" applyFont="1" applyBorder="1" applyAlignment="1"/>
    <xf numFmtId="0" fontId="0" fillId="44" borderId="0" xfId="0" applyFont="1" applyFill="1"/>
    <xf numFmtId="0" fontId="0" fillId="44" borderId="3" xfId="0" applyFont="1" applyFill="1" applyBorder="1"/>
    <xf numFmtId="44" fontId="0" fillId="44" borderId="0" xfId="190" applyNumberFormat="1" applyFont="1" applyFill="1"/>
    <xf numFmtId="0" fontId="78" fillId="34" borderId="3" xfId="0" applyFont="1" applyFill="1" applyBorder="1" applyAlignment="1">
      <alignment horizontal="center" wrapText="1"/>
    </xf>
    <xf numFmtId="0" fontId="78" fillId="0" borderId="0" xfId="0" applyFont="1"/>
    <xf numFmtId="43" fontId="0" fillId="0" borderId="0" xfId="1" applyFont="1" applyBorder="1"/>
    <xf numFmtId="44" fontId="66" fillId="0" borderId="0" xfId="387" applyFont="1" applyFill="1" applyBorder="1"/>
    <xf numFmtId="44" fontId="66" fillId="0" borderId="3" xfId="387" applyFont="1" applyFill="1" applyBorder="1"/>
    <xf numFmtId="44" fontId="73" fillId="0" borderId="0" xfId="387" applyFont="1" applyFill="1" applyBorder="1"/>
    <xf numFmtId="165" fontId="66" fillId="35" borderId="0" xfId="383" applyNumberFormat="1" applyFont="1" applyFill="1" applyBorder="1"/>
    <xf numFmtId="165" fontId="79" fillId="43" borderId="0" xfId="0" applyNumberFormat="1" applyFont="1" applyFill="1" applyBorder="1"/>
    <xf numFmtId="0" fontId="60" fillId="0" borderId="0" xfId="370" applyFont="1" applyFill="1" applyAlignment="1">
      <alignment horizontal="center"/>
    </xf>
    <xf numFmtId="43" fontId="0" fillId="0" borderId="0" xfId="0" applyNumberFormat="1" applyFont="1" applyFill="1" applyBorder="1"/>
    <xf numFmtId="10" fontId="64" fillId="0" borderId="0" xfId="3" applyNumberFormat="1" applyFont="1"/>
    <xf numFmtId="3" fontId="0" fillId="0" borderId="3" xfId="0" applyNumberFormat="1" applyFont="1" applyBorder="1"/>
    <xf numFmtId="0" fontId="0" fillId="34" borderId="41" xfId="0" applyFont="1" applyFill="1" applyBorder="1" applyAlignment="1">
      <alignment horizontal="center"/>
    </xf>
    <xf numFmtId="44" fontId="0" fillId="0" borderId="42" xfId="190" applyFont="1" applyBorder="1"/>
    <xf numFmtId="44" fontId="0" fillId="0" borderId="43" xfId="190" applyFont="1" applyBorder="1"/>
    <xf numFmtId="0" fontId="0" fillId="0" borderId="43" xfId="0" applyFont="1" applyBorder="1"/>
    <xf numFmtId="0" fontId="0" fillId="34" borderId="44" xfId="0" applyFont="1" applyFill="1" applyBorder="1" applyAlignment="1">
      <alignment horizontal="center"/>
    </xf>
    <xf numFmtId="3" fontId="0" fillId="0" borderId="43" xfId="0" applyNumberFormat="1" applyFont="1" applyBorder="1"/>
    <xf numFmtId="44" fontId="0" fillId="0" borderId="45" xfId="190" applyFont="1" applyBorder="1"/>
    <xf numFmtId="4" fontId="62" fillId="0" borderId="0" xfId="0" applyNumberFormat="1" applyFont="1"/>
    <xf numFmtId="175" fontId="0" fillId="0" borderId="0" xfId="1" applyNumberFormat="1" applyFont="1" applyFill="1" applyBorder="1"/>
    <xf numFmtId="10" fontId="0" fillId="0" borderId="0" xfId="3" applyNumberFormat="1" applyFont="1" applyBorder="1"/>
    <xf numFmtId="0" fontId="60" fillId="0" borderId="3" xfId="370" applyFont="1" applyFill="1" applyBorder="1" applyAlignment="1">
      <alignment horizontal="center"/>
    </xf>
    <xf numFmtId="0" fontId="60" fillId="0" borderId="3" xfId="370" applyFont="1" applyBorder="1" applyAlignment="1">
      <alignment horizontal="center"/>
    </xf>
    <xf numFmtId="14" fontId="61" fillId="0" borderId="3" xfId="0" applyNumberFormat="1" applyFont="1" applyBorder="1"/>
    <xf numFmtId="0" fontId="0" fillId="0" borderId="46" xfId="0" applyFont="1" applyBorder="1"/>
    <xf numFmtId="10" fontId="0" fillId="0" borderId="0" xfId="3" applyNumberFormat="1" applyFont="1" applyFill="1" applyBorder="1"/>
    <xf numFmtId="0" fontId="0" fillId="34" borderId="0" xfId="0" applyFont="1" applyFill="1" applyAlignment="1">
      <alignment horizontal="center"/>
    </xf>
    <xf numFmtId="0" fontId="0" fillId="0" borderId="0" xfId="0" applyFont="1" applyAlignment="1">
      <alignment horizontal="left"/>
    </xf>
    <xf numFmtId="0" fontId="64" fillId="34" borderId="3" xfId="0" applyFont="1" applyFill="1" applyBorder="1" applyAlignment="1">
      <alignment horizontal="center"/>
    </xf>
    <xf numFmtId="0" fontId="78" fillId="0" borderId="0" xfId="0" applyFont="1" applyBorder="1" applyAlignment="1">
      <alignment horizontal="left" wrapText="1"/>
    </xf>
    <xf numFmtId="0" fontId="0" fillId="0" borderId="0" xfId="0" applyAlignment="1">
      <alignment wrapText="1"/>
    </xf>
    <xf numFmtId="0" fontId="0" fillId="34" borderId="0" xfId="0" applyFont="1" applyFill="1" applyBorder="1" applyAlignment="1">
      <alignment horizontal="center"/>
    </xf>
    <xf numFmtId="0" fontId="0" fillId="0" borderId="40" xfId="0" applyFont="1" applyFill="1" applyBorder="1" applyAlignment="1">
      <alignment horizontal="center" vertical="center" textRotation="90"/>
    </xf>
    <xf numFmtId="0" fontId="0" fillId="0" borderId="0" xfId="0" applyFont="1" applyFill="1" applyBorder="1" applyAlignment="1">
      <alignment horizontal="center" vertical="center" textRotation="90"/>
    </xf>
    <xf numFmtId="0" fontId="0" fillId="0" borderId="3" xfId="0" applyFont="1" applyFill="1" applyBorder="1" applyAlignment="1">
      <alignment horizontal="center" vertical="center" textRotation="90"/>
    </xf>
    <xf numFmtId="0" fontId="0" fillId="0" borderId="40" xfId="0" applyFont="1" applyBorder="1" applyAlignment="1">
      <alignment horizontal="center" vertical="center" textRotation="90"/>
    </xf>
    <xf numFmtId="0" fontId="0" fillId="0" borderId="0" xfId="0" applyFont="1" applyBorder="1" applyAlignment="1">
      <alignment horizontal="center" vertical="center" textRotation="90"/>
    </xf>
    <xf numFmtId="0" fontId="38" fillId="0" borderId="0" xfId="4" applyFont="1" applyAlignment="1">
      <alignment horizontal="left" wrapText="1"/>
    </xf>
    <xf numFmtId="0" fontId="64" fillId="0" borderId="0" xfId="0" applyFont="1" applyAlignment="1">
      <alignment horizontal="left" wrapText="1"/>
    </xf>
  </cellXfs>
  <cellStyles count="415">
    <cellStyle name="20% - Accent1 2" xfId="5"/>
    <cellStyle name="20% - Accent1 2 2" xfId="107"/>
    <cellStyle name="20% - Accent1 2_Rate Sheet" xfId="106"/>
    <cellStyle name="20% - Accent1 3" xfId="108"/>
    <cellStyle name="20% - Accent1 3 2" xfId="371"/>
    <cellStyle name="20% - Accent2 2" xfId="109"/>
    <cellStyle name="20% - Accent2 2 2" xfId="110"/>
    <cellStyle name="20% - Accent2 3" xfId="111"/>
    <cellStyle name="20% - Accent3 2" xfId="112"/>
    <cellStyle name="20% - Accent3 3" xfId="113"/>
    <cellStyle name="20% - Accent4 2" xfId="6"/>
    <cellStyle name="20% - Accent4 2 2" xfId="115"/>
    <cellStyle name="20% - Accent4 2_Rate Sheet" xfId="114"/>
    <cellStyle name="20% - Accent4 3" xfId="116"/>
    <cellStyle name="20% - Accent4 3 2" xfId="372"/>
    <cellStyle name="20% - Accent5 2" xfId="117"/>
    <cellStyle name="20% - Accent5 3" xfId="118"/>
    <cellStyle name="20% - Accent6 2" xfId="119"/>
    <cellStyle name="20% - Accent6 2 2" xfId="120"/>
    <cellStyle name="20% - Accent6 3" xfId="121"/>
    <cellStyle name="40% - Accent1 2" xfId="7"/>
    <cellStyle name="40% - Accent1 3" xfId="122"/>
    <cellStyle name="40% - Accent1 3 2" xfId="373"/>
    <cellStyle name="40% - Accent2 2" xfId="123"/>
    <cellStyle name="40% - Accent2 3" xfId="124"/>
    <cellStyle name="40% - Accent3 2" xfId="125"/>
    <cellStyle name="40% - Accent3 2 2" xfId="126"/>
    <cellStyle name="40% - Accent3 3" xfId="127"/>
    <cellStyle name="40% - Accent4 2" xfId="8"/>
    <cellStyle name="40% - Accent4 3" xfId="128"/>
    <cellStyle name="40% - Accent4 3 2" xfId="374"/>
    <cellStyle name="40% - Accent5 2" xfId="9"/>
    <cellStyle name="40% - Accent5 3" xfId="129"/>
    <cellStyle name="40% - Accent6 2" xfId="10"/>
    <cellStyle name="40% - Accent6 3" xfId="130"/>
    <cellStyle name="40% - Accent6 3 2" xfId="375"/>
    <cellStyle name="60% - Accent1 2" xfId="11"/>
    <cellStyle name="60% - Accent1 2 2" xfId="132"/>
    <cellStyle name="60% - Accent1 2_Rate Sheet" xfId="131"/>
    <cellStyle name="60% - Accent1 3" xfId="133"/>
    <cellStyle name="60% - Accent1 3 2" xfId="376"/>
    <cellStyle name="60% - Accent2 2" xfId="12"/>
    <cellStyle name="60% - Accent2 3" xfId="134"/>
    <cellStyle name="60% - Accent3 2" xfId="13"/>
    <cellStyle name="60% - Accent3 3" xfId="135"/>
    <cellStyle name="60% - Accent3 3 2" xfId="377"/>
    <cellStyle name="60% - Accent4 2" xfId="14"/>
    <cellStyle name="60% - Accent4 3" xfId="136"/>
    <cellStyle name="60% - Accent4 3 2" xfId="378"/>
    <cellStyle name="60% - Accent5 2" xfId="15"/>
    <cellStyle name="60% - Accent5 2 2" xfId="138"/>
    <cellStyle name="60% - Accent5 2_Rate Sheet" xfId="137"/>
    <cellStyle name="60% - Accent5 3" xfId="139"/>
    <cellStyle name="60% - Accent6 2" xfId="140"/>
    <cellStyle name="60% - Accent6 2 2" xfId="141"/>
    <cellStyle name="60% - Accent6 3" xfId="142"/>
    <cellStyle name="Accent1 2" xfId="16"/>
    <cellStyle name="Accent1 2 2" xfId="144"/>
    <cellStyle name="Accent1 2_Rate Sheet" xfId="143"/>
    <cellStyle name="Accent1 3" xfId="145"/>
    <cellStyle name="Accent1 3 2" xfId="379"/>
    <cellStyle name="Accent2 2" xfId="17"/>
    <cellStyle name="Accent2 3" xfId="146"/>
    <cellStyle name="Accent3 2" xfId="18"/>
    <cellStyle name="Accent3 2 2" xfId="148"/>
    <cellStyle name="Accent3 2_Rate Sheet" xfId="147"/>
    <cellStyle name="Accent3 3" xfId="149"/>
    <cellStyle name="Accent4 2" xfId="150"/>
    <cellStyle name="Accent4 2 2" xfId="151"/>
    <cellStyle name="Accent4 3" xfId="152"/>
    <cellStyle name="Accent5 2" xfId="153"/>
    <cellStyle name="Accent5 2 2" xfId="154"/>
    <cellStyle name="Accent5 3" xfId="155"/>
    <cellStyle name="Accent6 2" xfId="19"/>
    <cellStyle name="Accent6 2 2" xfId="157"/>
    <cellStyle name="Accent6 2_Rate Sheet" xfId="156"/>
    <cellStyle name="Accent6 3" xfId="158"/>
    <cellStyle name="Accounting" xfId="20"/>
    <cellStyle name="Accounting 2" xfId="159"/>
    <cellStyle name="Accounting 3" xfId="160"/>
    <cellStyle name="Accounting_2011-11" xfId="161"/>
    <cellStyle name="Bad 2" xfId="21"/>
    <cellStyle name="Bad 3" xfId="162"/>
    <cellStyle name="Budget" xfId="22"/>
    <cellStyle name="Budget 2" xfId="163"/>
    <cellStyle name="Budget 3" xfId="164"/>
    <cellStyle name="Budget_2011-11" xfId="165"/>
    <cellStyle name="Calculation 2" xfId="23"/>
    <cellStyle name="Calculation 2 2" xfId="167"/>
    <cellStyle name="Calculation 2_Rate Sheet" xfId="166"/>
    <cellStyle name="Calculation 3" xfId="168"/>
    <cellStyle name="Calculation 3 2" xfId="380"/>
    <cellStyle name="Check Cell 2" xfId="169"/>
    <cellStyle name="Check Cell 2 2" xfId="170"/>
    <cellStyle name="Check Cell 3" xfId="171"/>
    <cellStyle name="combo" xfId="172"/>
    <cellStyle name="Comma" xfId="1" builtinId="3"/>
    <cellStyle name="Comma 10" xfId="24"/>
    <cellStyle name="Comma 11" xfId="25"/>
    <cellStyle name="Comma 12" xfId="26"/>
    <cellStyle name="Comma 12 2" xfId="173"/>
    <cellStyle name="Comma 12 3" xfId="174"/>
    <cellStyle name="Comma 13" xfId="27"/>
    <cellStyle name="Comma 14" xfId="28"/>
    <cellStyle name="Comma 15" xfId="29"/>
    <cellStyle name="Comma 16" xfId="175"/>
    <cellStyle name="Comma 17" xfId="381"/>
    <cellStyle name="Comma 18" xfId="382"/>
    <cellStyle name="Comma 19" xfId="383"/>
    <cellStyle name="Comma 2" xfId="30"/>
    <cellStyle name="Comma 2 2" xfId="31"/>
    <cellStyle name="Comma 2 2 2" xfId="384"/>
    <cellStyle name="Comma 2 3" xfId="32"/>
    <cellStyle name="Comma 2 4" xfId="176"/>
    <cellStyle name="Comma 2 6" xfId="177"/>
    <cellStyle name="Comma 2 6 2" xfId="178"/>
    <cellStyle name="Comma 3" xfId="33"/>
    <cellStyle name="Comma 3 2" xfId="34"/>
    <cellStyle name="Comma 3 2 2" xfId="179"/>
    <cellStyle name="Comma 3 3" xfId="180"/>
    <cellStyle name="Comma 3 4" xfId="385"/>
    <cellStyle name="Comma 4" xfId="35"/>
    <cellStyle name="Comma 4 2" xfId="181"/>
    <cellStyle name="Comma 4 2 2" xfId="182"/>
    <cellStyle name="Comma 4 3" xfId="183"/>
    <cellStyle name="Comma 4 3 2" xfId="184"/>
    <cellStyle name="Comma 4 4" xfId="185"/>
    <cellStyle name="Comma 4 4 2" xfId="186"/>
    <cellStyle name="Comma 4 5" xfId="187"/>
    <cellStyle name="Comma 4 6" xfId="188"/>
    <cellStyle name="Comma 5" xfId="36"/>
    <cellStyle name="Comma 5 2" xfId="189"/>
    <cellStyle name="Comma 6" xfId="37"/>
    <cellStyle name="Comma 6 2" xfId="386"/>
    <cellStyle name="Comma 7" xfId="38"/>
    <cellStyle name="Comma 8" xfId="39"/>
    <cellStyle name="Comma 9" xfId="40"/>
    <cellStyle name="Comma(2)" xfId="41"/>
    <cellStyle name="Comma0 - Style2" xfId="42"/>
    <cellStyle name="Comma1 - Style1" xfId="43"/>
    <cellStyle name="Comments" xfId="44"/>
    <cellStyle name="Currency" xfId="2" builtinId="4"/>
    <cellStyle name="Currency 10" xfId="387"/>
    <cellStyle name="Currency 2" xfId="45"/>
    <cellStyle name="Currency 2 2" xfId="190"/>
    <cellStyle name="Currency 2 2 2" xfId="191"/>
    <cellStyle name="Currency 2 3" xfId="192"/>
    <cellStyle name="Currency 2 3 2" xfId="193"/>
    <cellStyle name="Currency 2 6" xfId="194"/>
    <cellStyle name="Currency 2 6 2" xfId="195"/>
    <cellStyle name="Currency 3" xfId="46"/>
    <cellStyle name="Currency 3 2" xfId="196"/>
    <cellStyle name="Currency 3 3" xfId="197"/>
    <cellStyle name="Currency 3 4" xfId="198"/>
    <cellStyle name="Currency 4" xfId="47"/>
    <cellStyle name="Currency 4 2" xfId="199"/>
    <cellStyle name="Currency 5" xfId="48"/>
    <cellStyle name="Currency 5 2" xfId="200"/>
    <cellStyle name="Currency 5 3" xfId="201"/>
    <cellStyle name="Currency 6" xfId="49"/>
    <cellStyle name="Currency 7" xfId="50"/>
    <cellStyle name="Currency 8" xfId="202"/>
    <cellStyle name="Currency 9" xfId="388"/>
    <cellStyle name="Data Enter" xfId="51"/>
    <cellStyle name="date" xfId="389"/>
    <cellStyle name="Explanatory Text 2" xfId="203"/>
    <cellStyle name="Explanatory Text 3" xfId="204"/>
    <cellStyle name="F9ReportControlStyle_ctpInquire" xfId="205"/>
    <cellStyle name="FactSheet" xfId="52"/>
    <cellStyle name="fish" xfId="390"/>
    <cellStyle name="Good 2" xfId="53"/>
    <cellStyle name="Good 3" xfId="206"/>
    <cellStyle name="Heading 1 2" xfId="54"/>
    <cellStyle name="Heading 1 2 2" xfId="208"/>
    <cellStyle name="Heading 1 2_Rate Sheet" xfId="207"/>
    <cellStyle name="Heading 1 3" xfId="209"/>
    <cellStyle name="Heading 1 3 2" xfId="391"/>
    <cellStyle name="Heading 2 2" xfId="55"/>
    <cellStyle name="Heading 2 2 2" xfId="211"/>
    <cellStyle name="Heading 2 2_Rate Sheet" xfId="210"/>
    <cellStyle name="Heading 2 3" xfId="212"/>
    <cellStyle name="Heading 2 3 2" xfId="392"/>
    <cellStyle name="Heading 3 2" xfId="56"/>
    <cellStyle name="Heading 3 2 2" xfId="214"/>
    <cellStyle name="Heading 3 2_Rate Sheet" xfId="213"/>
    <cellStyle name="Heading 3 3" xfId="215"/>
    <cellStyle name="Heading 3 3 2" xfId="393"/>
    <cellStyle name="Heading 4 2" xfId="216"/>
    <cellStyle name="Heading 4 2 2" xfId="217"/>
    <cellStyle name="Heading 4 3" xfId="218"/>
    <cellStyle name="Hyperlink 2" xfId="57"/>
    <cellStyle name="Hyperlink 3" xfId="58"/>
    <cellStyle name="Hyperlink 3 2" xfId="219"/>
    <cellStyle name="Input 2" xfId="220"/>
    <cellStyle name="Input 2 2" xfId="221"/>
    <cellStyle name="Input 3" xfId="222"/>
    <cellStyle name="input(0)" xfId="59"/>
    <cellStyle name="Input(2)" xfId="60"/>
    <cellStyle name="Linked Cell 2" xfId="61"/>
    <cellStyle name="Linked Cell 2 2" xfId="224"/>
    <cellStyle name="Linked Cell 2_Rate Sheet" xfId="223"/>
    <cellStyle name="Linked Cell 3" xfId="225"/>
    <cellStyle name="Neutral 2" xfId="62"/>
    <cellStyle name="Neutral 2 2" xfId="227"/>
    <cellStyle name="Neutral 2_Rate Sheet" xfId="226"/>
    <cellStyle name="Neutral 3" xfId="228"/>
    <cellStyle name="New_normal" xfId="63"/>
    <cellStyle name="Normal" xfId="0" builtinId="0"/>
    <cellStyle name="Normal - Style1" xfId="64"/>
    <cellStyle name="Normal - Style2" xfId="65"/>
    <cellStyle name="Normal - Style3" xfId="66"/>
    <cellStyle name="Normal - Style4" xfId="67"/>
    <cellStyle name="Normal - Style5" xfId="68"/>
    <cellStyle name="Normal 10" xfId="69"/>
    <cellStyle name="Normal 10 2" xfId="229"/>
    <cellStyle name="Normal 10 2 2" xfId="394"/>
    <cellStyle name="Normal 10 2 3" xfId="395"/>
    <cellStyle name="Normal 10_2112 DF Schedule" xfId="396"/>
    <cellStyle name="Normal 11" xfId="70"/>
    <cellStyle name="Normal 12" xfId="71"/>
    <cellStyle name="Normal 12 2" xfId="231"/>
    <cellStyle name="Normal 12_Rate Sheet" xfId="230"/>
    <cellStyle name="Normal 13" xfId="72"/>
    <cellStyle name="Normal 13 2" xfId="233"/>
    <cellStyle name="Normal 13_Rate Sheet" xfId="232"/>
    <cellStyle name="Normal 14" xfId="73"/>
    <cellStyle name="Normal 14 2" xfId="235"/>
    <cellStyle name="Normal 14_Rate Sheet" xfId="234"/>
    <cellStyle name="Normal 15" xfId="74"/>
    <cellStyle name="Normal 15 2" xfId="237"/>
    <cellStyle name="Normal 15_Rate Sheet" xfId="236"/>
    <cellStyle name="Normal 16" xfId="75"/>
    <cellStyle name="Normal 16 2" xfId="239"/>
    <cellStyle name="Normal 16_Rate Sheet" xfId="238"/>
    <cellStyle name="Normal 17" xfId="76"/>
    <cellStyle name="Normal 17 2" xfId="241"/>
    <cellStyle name="Normal 17_Rate Sheet" xfId="240"/>
    <cellStyle name="Normal 18" xfId="77"/>
    <cellStyle name="Normal 18 2" xfId="243"/>
    <cellStyle name="Normal 18_Rate Sheet" xfId="242"/>
    <cellStyle name="Normal 19" xfId="78"/>
    <cellStyle name="Normal 19 2" xfId="245"/>
    <cellStyle name="Normal 19_Rate Sheet" xfId="244"/>
    <cellStyle name="Normal 2" xfId="79"/>
    <cellStyle name="Normal 2 2" xfId="80"/>
    <cellStyle name="Normal 2 2 2" xfId="81"/>
    <cellStyle name="Normal 2 2 3" xfId="246"/>
    <cellStyle name="Normal 2 2_Actual_Fuel" xfId="247"/>
    <cellStyle name="Normal 2 3" xfId="82"/>
    <cellStyle name="Normal 2 3 2" xfId="83"/>
    <cellStyle name="Normal 2 3 3" xfId="248"/>
    <cellStyle name="Normal 2 4" xfId="249"/>
    <cellStyle name="Normal 2 5" xfId="250"/>
    <cellStyle name="Normal 2_2012-10" xfId="251"/>
    <cellStyle name="Normal 20" xfId="252"/>
    <cellStyle name="Normal 21" xfId="253"/>
    <cellStyle name="Normal 22" xfId="254"/>
    <cellStyle name="Normal 23" xfId="255"/>
    <cellStyle name="Normal 24" xfId="256"/>
    <cellStyle name="Normal 25" xfId="257"/>
    <cellStyle name="Normal 26" xfId="258"/>
    <cellStyle name="Normal 27" xfId="259"/>
    <cellStyle name="Normal 28" xfId="260"/>
    <cellStyle name="Normal 29" xfId="261"/>
    <cellStyle name="Normal 3" xfId="84"/>
    <cellStyle name="Normal 3 2" xfId="262"/>
    <cellStyle name="Normal 3 3" xfId="263"/>
    <cellStyle name="Normal 3 3 2" xfId="264"/>
    <cellStyle name="Normal 3 4" xfId="265"/>
    <cellStyle name="Normal 3_2012 PR" xfId="266"/>
    <cellStyle name="Normal 30" xfId="267"/>
    <cellStyle name="Normal 31" xfId="268"/>
    <cellStyle name="Normal 32" xfId="269"/>
    <cellStyle name="Normal 33" xfId="270"/>
    <cellStyle name="Normal 34" xfId="271"/>
    <cellStyle name="Normal 35" xfId="272"/>
    <cellStyle name="Normal 36" xfId="273"/>
    <cellStyle name="Normal 37" xfId="274"/>
    <cellStyle name="Normal 38" xfId="275"/>
    <cellStyle name="Normal 39" xfId="276"/>
    <cellStyle name="Normal 4" xfId="85"/>
    <cellStyle name="Normal 4 2" xfId="278"/>
    <cellStyle name="Normal 4 2 2" xfId="279"/>
    <cellStyle name="Normal 4_Rate Sheet" xfId="277"/>
    <cellStyle name="Normal 40" xfId="280"/>
    <cellStyle name="Normal 41" xfId="281"/>
    <cellStyle name="Normal 42" xfId="282"/>
    <cellStyle name="Normal 43" xfId="283"/>
    <cellStyle name="Normal 44" xfId="284"/>
    <cellStyle name="Normal 45" xfId="285"/>
    <cellStyle name="Normal 46" xfId="286"/>
    <cellStyle name="Normal 47" xfId="287"/>
    <cellStyle name="Normal 48" xfId="288"/>
    <cellStyle name="Normal 49" xfId="289"/>
    <cellStyle name="Normal 5" xfId="86"/>
    <cellStyle name="Normal 5 2" xfId="290"/>
    <cellStyle name="Normal 5 3" xfId="291"/>
    <cellStyle name="Normal 5_2112 DF Schedule" xfId="397"/>
    <cellStyle name="Normal 50" xfId="292"/>
    <cellStyle name="Normal 51" xfId="293"/>
    <cellStyle name="Normal 52" xfId="294"/>
    <cellStyle name="Normal 53" xfId="295"/>
    <cellStyle name="Normal 54" xfId="296"/>
    <cellStyle name="Normal 55" xfId="297"/>
    <cellStyle name="Normal 56" xfId="298"/>
    <cellStyle name="Normal 57" xfId="299"/>
    <cellStyle name="Normal 58" xfId="300"/>
    <cellStyle name="Normal 59" xfId="301"/>
    <cellStyle name="Normal 6" xfId="87"/>
    <cellStyle name="Normal 6 2" xfId="303"/>
    <cellStyle name="Normal 6_Rate Sheet" xfId="302"/>
    <cellStyle name="Normal 60" xfId="304"/>
    <cellStyle name="Normal 61" xfId="305"/>
    <cellStyle name="Normal 62" xfId="306"/>
    <cellStyle name="Normal 63" xfId="307"/>
    <cellStyle name="Normal 64" xfId="308"/>
    <cellStyle name="Normal 65" xfId="309"/>
    <cellStyle name="Normal 66" xfId="310"/>
    <cellStyle name="Normal 67" xfId="311"/>
    <cellStyle name="Normal 68" xfId="312"/>
    <cellStyle name="Normal 69" xfId="313"/>
    <cellStyle name="Normal 7" xfId="88"/>
    <cellStyle name="Normal 70" xfId="314"/>
    <cellStyle name="Normal 71" xfId="315"/>
    <cellStyle name="Normal 72" xfId="316"/>
    <cellStyle name="Normal 73" xfId="317"/>
    <cellStyle name="Normal 74" xfId="318"/>
    <cellStyle name="Normal 75" xfId="319"/>
    <cellStyle name="Normal 76" xfId="320"/>
    <cellStyle name="Normal 77" xfId="321"/>
    <cellStyle name="Normal 78" xfId="322"/>
    <cellStyle name="Normal 79" xfId="323"/>
    <cellStyle name="Normal 8" xfId="89"/>
    <cellStyle name="Normal 80" xfId="324"/>
    <cellStyle name="Normal 81" xfId="325"/>
    <cellStyle name="Normal 82" xfId="326"/>
    <cellStyle name="Normal 83" xfId="327"/>
    <cellStyle name="Normal 84" xfId="328"/>
    <cellStyle name="Normal 84 2" xfId="329"/>
    <cellStyle name="Normal 84 3" xfId="330"/>
    <cellStyle name="Normal 85" xfId="331"/>
    <cellStyle name="Normal 86" xfId="332"/>
    <cellStyle name="Normal 87" xfId="333"/>
    <cellStyle name="Normal 88" xfId="334"/>
    <cellStyle name="Normal 89" xfId="335"/>
    <cellStyle name="Normal 9" xfId="90"/>
    <cellStyle name="Normal 90" xfId="336"/>
    <cellStyle name="Normal 91" xfId="337"/>
    <cellStyle name="Normal_Disposal" xfId="91"/>
    <cellStyle name="Normal_Murrey's Jan-Dec 2012" xfId="398"/>
    <cellStyle name="Normal_PCR Rate Schedule" xfId="370"/>
    <cellStyle name="Normal_Price out" xfId="399"/>
    <cellStyle name="Normal_Regulated Price Out 9-6-2011 Final HL" xfId="4"/>
    <cellStyle name="Normal_WUTC Rate Review - Disposal Revised" xfId="92"/>
    <cellStyle name="Note 2" xfId="93"/>
    <cellStyle name="Note 2 2" xfId="338"/>
    <cellStyle name="Note 3" xfId="339"/>
    <cellStyle name="Note 3 2" xfId="400"/>
    <cellStyle name="Notes" xfId="94"/>
    <cellStyle name="Output 2" xfId="340"/>
    <cellStyle name="Output 2 2" xfId="341"/>
    <cellStyle name="Output 3" xfId="342"/>
    <cellStyle name="Percent" xfId="3" builtinId="5"/>
    <cellStyle name="Percent 2" xfId="95"/>
    <cellStyle name="Percent 2 2" xfId="343"/>
    <cellStyle name="Percent 2 2 2" xfId="344"/>
    <cellStyle name="Percent 2 3" xfId="401"/>
    <cellStyle name="Percent 2 6" xfId="345"/>
    <cellStyle name="Percent 3" xfId="96"/>
    <cellStyle name="Percent 3 2" xfId="346"/>
    <cellStyle name="Percent 4" xfId="97"/>
    <cellStyle name="Percent 4 2" xfId="347"/>
    <cellStyle name="Percent 4 3" xfId="402"/>
    <cellStyle name="Percent 5" xfId="348"/>
    <cellStyle name="Percent 6" xfId="349"/>
    <cellStyle name="Percent 7" xfId="350"/>
    <cellStyle name="Percent 7 2" xfId="351"/>
    <cellStyle name="Percent 7 3" xfId="403"/>
    <cellStyle name="Percent 8" xfId="404"/>
    <cellStyle name="Percent(1)" xfId="98"/>
    <cellStyle name="Percent(2)" xfId="99"/>
    <cellStyle name="PRM" xfId="100"/>
    <cellStyle name="PRM 2" xfId="352"/>
    <cellStyle name="PRM 3" xfId="353"/>
    <cellStyle name="PRM_2011-11" xfId="354"/>
    <cellStyle name="PS_Comma" xfId="355"/>
    <cellStyle name="PSChar" xfId="101"/>
    <cellStyle name="PSDate" xfId="356"/>
    <cellStyle name="PSDec" xfId="357"/>
    <cellStyle name="PSHeading" xfId="102"/>
    <cellStyle name="PSInt" xfId="358"/>
    <cellStyle name="PSSpacer" xfId="359"/>
    <cellStyle name="STYL0 - Style1" xfId="405"/>
    <cellStyle name="STYL1 - Style2" xfId="406"/>
    <cellStyle name="STYL2 - Style3" xfId="407"/>
    <cellStyle name="STYL3 - Style4" xfId="408"/>
    <cellStyle name="STYL4 - Style5" xfId="409"/>
    <cellStyle name="STYL5 - Style6" xfId="410"/>
    <cellStyle name="STYL6 - Style7" xfId="411"/>
    <cellStyle name="STYL7 - Style8" xfId="412"/>
    <cellStyle name="Style 1" xfId="103"/>
    <cellStyle name="Style 1 2" xfId="360"/>
    <cellStyle name="STYLE1" xfId="104"/>
    <cellStyle name="sub heading" xfId="413"/>
    <cellStyle name="Title 2" xfId="361"/>
    <cellStyle name="Title 2 2" xfId="362"/>
    <cellStyle name="Title 3" xfId="363"/>
    <cellStyle name="Total 2" xfId="105"/>
    <cellStyle name="Total 2 2" xfId="365"/>
    <cellStyle name="Total 2_Rate Sheet" xfId="364"/>
    <cellStyle name="Total 3" xfId="366"/>
    <cellStyle name="Total 3 2" xfId="414"/>
    <cellStyle name="Warning Text 2" xfId="367"/>
    <cellStyle name="Warning Text 3" xfId="368"/>
    <cellStyle name="WM_STANDARD" xfId="36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SRC%20Reports\SRC%20Format\Bonus%20Schedule\PNWR%20SRC%20Bonus%20Schedule%20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cinf05\DistShares\WCNX%20Stuff\Excel\Financials\Excel%20Financials\ExcelFinanci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cinf06\sacshare\Data_Automation\DMS\RouteManagerReports\RM_MM001_Query_v4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Annual%20Reports\2180%20LeMay\2009\LeMay%20Annual%20Report%200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
      <sheetName val="Instructions"/>
      <sheetName val="User"/>
      <sheetName val="Settings"/>
      <sheetName val="Orientation"/>
      <sheetName val="Delivery"/>
      <sheetName val="RptClose"/>
      <sheetName val="Hidd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rrorNote"/>
      <sheetName val="ControlPanel"/>
      <sheetName val="PL_ActReview"/>
      <sheetName val="BS_Close"/>
      <sheetName val="PL_ActTranx"/>
      <sheetName val="JE_Review"/>
      <sheetName val="PL_CloseByDay"/>
      <sheetName val="PL_IS200"/>
      <sheetName val="PL_IS210"/>
      <sheetName val="PL_ActByDistrict"/>
      <sheetName val="PL_ProjReview"/>
    </sheetNames>
    <sheetDataSet>
      <sheetData sheetId="0"/>
      <sheetData sheetId="1">
        <row r="2">
          <cell r="X2" t="str">
            <v>P&amp;L Close Report</v>
          </cell>
          <cell r="Z2" t="str">
            <v>Consolidated</v>
          </cell>
        </row>
        <row r="3">
          <cell r="X3" t="str">
            <v>BS Close Report</v>
          </cell>
          <cell r="Z3" t="str">
            <v>Region</v>
          </cell>
        </row>
        <row r="4">
          <cell r="X4" t="str">
            <v>P&amp;L Tranx Report</v>
          </cell>
          <cell r="Z4" t="str">
            <v>District</v>
          </cell>
        </row>
        <row r="5">
          <cell r="X5" t="str">
            <v>P&amp;L Close by Day</v>
          </cell>
          <cell r="Z5" t="str">
            <v>Multiple Districts</v>
          </cell>
        </row>
        <row r="6">
          <cell r="X6" t="str">
            <v>JE Review Report</v>
          </cell>
        </row>
        <row r="7">
          <cell r="X7" t="str">
            <v>IS200 Report</v>
          </cell>
        </row>
        <row r="8">
          <cell r="X8" t="str">
            <v>IS210 Report</v>
          </cell>
        </row>
      </sheetData>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M001Tranx"/>
      <sheetName val="JEexport"/>
      <sheetName val="Intro Memo"/>
      <sheetName val="JE_Summary"/>
      <sheetName val="Mth00"/>
      <sheetName val="Mth01"/>
      <sheetName val="Mth02"/>
      <sheetName val="Mth03"/>
      <sheetName val="Mth04"/>
      <sheetName val="Mth05"/>
      <sheetName val="Mth06"/>
      <sheetName val="Mth07"/>
      <sheetName val="Mth08"/>
      <sheetName val="Mth09"/>
      <sheetName val="Mth10"/>
      <sheetName val="Mth11"/>
      <sheetName val="Mth12"/>
      <sheetName val="TEST"/>
      <sheetName val="To Do"/>
      <sheetName val="GLMapping"/>
      <sheetName val="BatchLog"/>
      <sheetName val="Reference"/>
    </sheetNames>
    <sheetDataSet>
      <sheetData sheetId="0"/>
      <sheetData sheetId="1" refreshError="1">
        <row r="9">
          <cell r="L9">
            <v>11501</v>
          </cell>
        </row>
        <row r="10">
          <cell r="L10" t="str">
            <v>11501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lassA, Certification"/>
      <sheetName val="OrgControl"/>
      <sheetName val="InsuranceAccident"/>
      <sheetName val="bsasset"/>
      <sheetName val="bsliab"/>
      <sheetName val="FixedAssets"/>
      <sheetName val="RetainedEarnings"/>
      <sheetName val="Income Statement"/>
      <sheetName val="RevenuesCust"/>
      <sheetName val="Recycle"/>
      <sheetName val="contracts"/>
      <sheetName val="GarbageDisp"/>
      <sheetName val="RecycleProcessing"/>
      <sheetName val="Payroll"/>
      <sheetName val="FeeCa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J71"/>
  <sheetViews>
    <sheetView tabSelected="1" topLeftCell="A37" zoomScaleNormal="100" workbookViewId="0">
      <selection activeCell="D33" sqref="D33"/>
    </sheetView>
  </sheetViews>
  <sheetFormatPr defaultColWidth="9.140625" defaultRowHeight="15"/>
  <cols>
    <col min="1" max="1" width="36.28515625" style="186" bestFit="1" customWidth="1"/>
    <col min="2" max="2" width="19" style="186" bestFit="1" customWidth="1"/>
    <col min="3" max="3" width="16" style="186" bestFit="1" customWidth="1"/>
    <col min="4" max="4" width="12.5703125" style="186" bestFit="1" customWidth="1"/>
    <col min="5" max="5" width="11.5703125" style="186" customWidth="1"/>
    <col min="6" max="6" width="11.42578125" style="186" bestFit="1" customWidth="1"/>
    <col min="7" max="7" width="10" style="186" bestFit="1" customWidth="1"/>
    <col min="8" max="8" width="8" style="186" bestFit="1" customWidth="1"/>
    <col min="9" max="9" width="4.7109375" style="186" customWidth="1"/>
    <col min="10" max="10" width="28" style="186" bestFit="1" customWidth="1"/>
    <col min="11" max="16384" width="9.140625" style="186"/>
  </cols>
  <sheetData>
    <row r="1" spans="1:10">
      <c r="A1" s="358" t="s">
        <v>538</v>
      </c>
      <c r="B1" s="358"/>
      <c r="C1" s="358"/>
      <c r="D1" s="358"/>
      <c r="E1" s="358"/>
      <c r="F1" s="358"/>
      <c r="G1" s="358"/>
      <c r="H1" s="358"/>
    </row>
    <row r="2" spans="1:10">
      <c r="A2" s="186" t="s">
        <v>539</v>
      </c>
      <c r="B2" s="187" t="s">
        <v>540</v>
      </c>
      <c r="C2" s="187" t="s">
        <v>541</v>
      </c>
      <c r="D2" s="187" t="s">
        <v>542</v>
      </c>
      <c r="E2" s="188" t="s">
        <v>543</v>
      </c>
      <c r="F2" s="188" t="s">
        <v>544</v>
      </c>
      <c r="G2" s="188" t="s">
        <v>545</v>
      </c>
      <c r="H2" s="187" t="s">
        <v>546</v>
      </c>
      <c r="J2" s="167" t="s">
        <v>656</v>
      </c>
    </row>
    <row r="3" spans="1:10">
      <c r="A3" s="186" t="s">
        <v>547</v>
      </c>
      <c r="B3" s="160">
        <f>52*5/12</f>
        <v>21.666666666666668</v>
      </c>
      <c r="C3" s="189">
        <f>$B$3*2</f>
        <v>43.333333333333336</v>
      </c>
      <c r="D3" s="189">
        <f>$B$3*3</f>
        <v>65</v>
      </c>
      <c r="E3" s="189">
        <f>$B$3*4</f>
        <v>86.666666666666671</v>
      </c>
      <c r="F3" s="189">
        <f>$B$3*5</f>
        <v>108.33333333333334</v>
      </c>
      <c r="G3" s="189">
        <f>$B$3*6</f>
        <v>130</v>
      </c>
      <c r="H3" s="189">
        <f>$B$3*7</f>
        <v>151.66666666666669</v>
      </c>
      <c r="J3" s="190">
        <f>B3-1</f>
        <v>20.666666666666668</v>
      </c>
    </row>
    <row r="4" spans="1:10">
      <c r="A4" s="186" t="s">
        <v>548</v>
      </c>
      <c r="B4" s="160">
        <f>52*4/12</f>
        <v>17.333333333333332</v>
      </c>
      <c r="C4" s="189">
        <f>$B$4*2</f>
        <v>34.666666666666664</v>
      </c>
      <c r="D4" s="189">
        <f>$B$4*3</f>
        <v>52</v>
      </c>
      <c r="E4" s="189">
        <f>$B$4*4</f>
        <v>69.333333333333329</v>
      </c>
      <c r="F4" s="189">
        <f>$B$4*5</f>
        <v>86.666666666666657</v>
      </c>
      <c r="G4" s="189">
        <f>$B$4*6</f>
        <v>104</v>
      </c>
      <c r="H4" s="189">
        <f>$B$4*7</f>
        <v>121.33333333333333</v>
      </c>
      <c r="J4" s="190">
        <f>B4-1</f>
        <v>16.333333333333332</v>
      </c>
    </row>
    <row r="5" spans="1:10">
      <c r="A5" s="186" t="s">
        <v>549</v>
      </c>
      <c r="B5" s="160">
        <f>52*3/12</f>
        <v>13</v>
      </c>
      <c r="C5" s="189">
        <f>$B$5*2</f>
        <v>26</v>
      </c>
      <c r="D5" s="189">
        <f>$B$5*3</f>
        <v>39</v>
      </c>
      <c r="E5" s="189">
        <f>$B$5*4</f>
        <v>52</v>
      </c>
      <c r="F5" s="189">
        <f>$B$5*5</f>
        <v>65</v>
      </c>
      <c r="G5" s="189">
        <f>$B$5*6</f>
        <v>78</v>
      </c>
      <c r="H5" s="189">
        <f>$B$5*7</f>
        <v>91</v>
      </c>
      <c r="J5" s="190">
        <f>B5-1</f>
        <v>12</v>
      </c>
    </row>
    <row r="6" spans="1:10">
      <c r="A6" s="186" t="s">
        <v>550</v>
      </c>
      <c r="B6" s="160">
        <f>52*2/12</f>
        <v>8.6666666666666661</v>
      </c>
      <c r="C6" s="190">
        <f>$B$6*2</f>
        <v>17.333333333333332</v>
      </c>
      <c r="D6" s="190">
        <f>$B$6*3</f>
        <v>26</v>
      </c>
      <c r="E6" s="190">
        <f>$B$6*4</f>
        <v>34.666666666666664</v>
      </c>
      <c r="F6" s="190">
        <f>$B$6*5</f>
        <v>43.333333333333329</v>
      </c>
      <c r="G6" s="190">
        <f>$B$6*6</f>
        <v>52</v>
      </c>
      <c r="H6" s="190">
        <f>$B$6*7</f>
        <v>60.666666666666664</v>
      </c>
      <c r="J6" s="190">
        <f>B6-1</f>
        <v>7.6666666666666661</v>
      </c>
    </row>
    <row r="7" spans="1:10">
      <c r="A7" s="186" t="s">
        <v>551</v>
      </c>
      <c r="B7" s="160">
        <f>52/12</f>
        <v>4.333333333333333</v>
      </c>
      <c r="C7" s="190">
        <f>$B$7*2</f>
        <v>8.6666666666666661</v>
      </c>
      <c r="D7" s="190">
        <f>$B$7*3</f>
        <v>13</v>
      </c>
      <c r="E7" s="190">
        <f>$B$7*4</f>
        <v>17.333333333333332</v>
      </c>
      <c r="F7" s="190">
        <f>$B$7*5</f>
        <v>21.666666666666664</v>
      </c>
      <c r="G7" s="190">
        <f>$B$7*6</f>
        <v>26</v>
      </c>
      <c r="H7" s="190">
        <f>$B$7*7</f>
        <v>30.333333333333332</v>
      </c>
      <c r="J7" s="190">
        <f>B7-1</f>
        <v>3.333333333333333</v>
      </c>
    </row>
    <row r="8" spans="1:10">
      <c r="A8" s="186" t="s">
        <v>552</v>
      </c>
      <c r="B8" s="160">
        <f>26/12</f>
        <v>2.1666666666666665</v>
      </c>
      <c r="C8" s="190">
        <f>$B$8*2</f>
        <v>4.333333333333333</v>
      </c>
      <c r="D8" s="190">
        <f>$B$8*3</f>
        <v>6.5</v>
      </c>
      <c r="E8" s="190">
        <f>$B$8*4</f>
        <v>8.6666666666666661</v>
      </c>
      <c r="F8" s="190">
        <f>$B$8*5</f>
        <v>10.833333333333332</v>
      </c>
      <c r="G8" s="190">
        <f>$B$8*6</f>
        <v>13</v>
      </c>
      <c r="H8" s="190">
        <f>$B$8*7</f>
        <v>15.166666666666666</v>
      </c>
    </row>
    <row r="9" spans="1:10">
      <c r="A9" s="186" t="s">
        <v>553</v>
      </c>
      <c r="B9" s="160">
        <f>12/12</f>
        <v>1</v>
      </c>
      <c r="C9" s="190">
        <f>$B$9*2</f>
        <v>2</v>
      </c>
      <c r="D9" s="190">
        <f>$B$9*3</f>
        <v>3</v>
      </c>
      <c r="E9" s="190">
        <f>$B$9*4</f>
        <v>4</v>
      </c>
      <c r="F9" s="190">
        <f>$B$9*5</f>
        <v>5</v>
      </c>
      <c r="G9" s="190">
        <f>$B$9*6</f>
        <v>6</v>
      </c>
      <c r="H9" s="190">
        <f>$B$9*7</f>
        <v>7</v>
      </c>
    </row>
    <row r="10" spans="1:10">
      <c r="B10" s="160"/>
      <c r="C10" s="190"/>
      <c r="D10" s="190"/>
      <c r="E10" s="190"/>
      <c r="F10" s="190"/>
      <c r="G10" s="190"/>
      <c r="H10" s="190"/>
    </row>
    <row r="11" spans="1:10">
      <c r="B11" s="160"/>
      <c r="C11" s="160"/>
      <c r="D11" s="160"/>
      <c r="E11" s="160"/>
      <c r="F11" s="160"/>
      <c r="G11" s="160"/>
      <c r="H11" s="160"/>
    </row>
    <row r="12" spans="1:10">
      <c r="B12" s="160"/>
      <c r="C12" s="190"/>
      <c r="D12" s="190"/>
      <c r="E12" s="190"/>
      <c r="F12" s="190"/>
      <c r="G12" s="190"/>
      <c r="H12" s="190"/>
    </row>
    <row r="13" spans="1:10">
      <c r="A13" s="358" t="s">
        <v>554</v>
      </c>
      <c r="B13" s="358"/>
      <c r="C13" s="190"/>
      <c r="D13" s="190"/>
      <c r="E13" s="190"/>
      <c r="F13" s="190"/>
      <c r="G13" s="190"/>
      <c r="H13" s="190"/>
    </row>
    <row r="14" spans="1:10">
      <c r="A14" s="157" t="s">
        <v>555</v>
      </c>
      <c r="B14" s="191" t="s">
        <v>556</v>
      </c>
      <c r="C14" s="190"/>
      <c r="D14" s="190"/>
      <c r="E14" s="190"/>
      <c r="F14" s="190"/>
      <c r="G14" s="190"/>
      <c r="H14" s="190"/>
    </row>
    <row r="15" spans="1:10">
      <c r="A15" s="192" t="s">
        <v>557</v>
      </c>
      <c r="B15" s="193">
        <v>20</v>
      </c>
      <c r="C15" s="190"/>
      <c r="D15" s="190"/>
      <c r="E15" s="190"/>
      <c r="F15" s="190"/>
      <c r="G15" s="190"/>
      <c r="H15" s="190"/>
    </row>
    <row r="16" spans="1:10">
      <c r="A16" s="192" t="s">
        <v>558</v>
      </c>
      <c r="B16" s="193">
        <v>34</v>
      </c>
      <c r="C16" s="190"/>
      <c r="D16" s="190"/>
      <c r="E16" s="190"/>
      <c r="F16" s="190"/>
      <c r="G16" s="190"/>
      <c r="H16" s="190"/>
    </row>
    <row r="17" spans="1:8">
      <c r="A17" s="192" t="s">
        <v>559</v>
      </c>
      <c r="B17" s="193">
        <v>51</v>
      </c>
      <c r="C17" s="190"/>
      <c r="D17" s="190"/>
      <c r="E17" s="190"/>
      <c r="F17" s="190"/>
      <c r="G17" s="190"/>
      <c r="H17" s="190"/>
    </row>
    <row r="18" spans="1:8">
      <c r="A18" s="192" t="s">
        <v>560</v>
      </c>
      <c r="B18" s="193">
        <v>77</v>
      </c>
      <c r="C18" s="190"/>
      <c r="D18" s="190"/>
      <c r="E18" s="190"/>
      <c r="F18" s="186" t="s">
        <v>561</v>
      </c>
      <c r="G18" s="193">
        <v>2000</v>
      </c>
      <c r="H18" s="190"/>
    </row>
    <row r="19" spans="1:8">
      <c r="A19" s="192" t="s">
        <v>562</v>
      </c>
      <c r="B19" s="193">
        <v>97</v>
      </c>
      <c r="C19" s="190"/>
      <c r="D19" s="190"/>
      <c r="E19" s="190"/>
      <c r="F19" s="186" t="s">
        <v>563</v>
      </c>
      <c r="G19" s="194" t="s">
        <v>564</v>
      </c>
      <c r="H19" s="190"/>
    </row>
    <row r="20" spans="1:8">
      <c r="A20" s="192" t="s">
        <v>565</v>
      </c>
      <c r="B20" s="193">
        <v>117</v>
      </c>
      <c r="C20" s="190"/>
      <c r="D20" s="190"/>
      <c r="E20" s="190"/>
      <c r="H20" s="190"/>
    </row>
    <row r="21" spans="1:8">
      <c r="A21" s="192" t="s">
        <v>566</v>
      </c>
      <c r="B21" s="193">
        <v>157</v>
      </c>
      <c r="C21" s="190"/>
      <c r="D21" s="190"/>
      <c r="E21" s="190"/>
      <c r="F21" s="195"/>
      <c r="G21" s="196"/>
      <c r="H21" s="190"/>
    </row>
    <row r="22" spans="1:8">
      <c r="A22" s="192" t="s">
        <v>567</v>
      </c>
      <c r="B22" s="193">
        <v>37</v>
      </c>
      <c r="C22" s="190" t="s">
        <v>568</v>
      </c>
      <c r="D22" s="190"/>
      <c r="E22" s="190"/>
      <c r="F22" s="195"/>
      <c r="G22" s="196"/>
      <c r="H22" s="190"/>
    </row>
    <row r="23" spans="1:8">
      <c r="A23" s="192" t="s">
        <v>569</v>
      </c>
      <c r="B23" s="193">
        <v>47</v>
      </c>
      <c r="C23" s="190"/>
      <c r="D23" s="190"/>
      <c r="E23" s="190"/>
      <c r="F23" s="190"/>
      <c r="G23" s="190"/>
      <c r="H23" s="190"/>
    </row>
    <row r="24" spans="1:8">
      <c r="A24" s="192" t="s">
        <v>570</v>
      </c>
      <c r="B24" s="193">
        <v>68</v>
      </c>
      <c r="C24" s="190"/>
      <c r="D24" s="190"/>
      <c r="E24" s="190"/>
      <c r="F24" s="190"/>
      <c r="G24" s="190"/>
      <c r="H24" s="190"/>
    </row>
    <row r="25" spans="1:8">
      <c r="A25" s="192" t="s">
        <v>571</v>
      </c>
      <c r="B25" s="193">
        <v>34</v>
      </c>
      <c r="C25" s="190"/>
      <c r="D25" s="190"/>
      <c r="E25" s="190"/>
      <c r="F25" s="190"/>
      <c r="G25" s="190"/>
      <c r="H25" s="190"/>
    </row>
    <row r="26" spans="1:8">
      <c r="A26" s="192" t="s">
        <v>572</v>
      </c>
      <c r="B26" s="193">
        <v>34</v>
      </c>
      <c r="C26" s="190"/>
      <c r="D26" s="190"/>
      <c r="E26" s="190"/>
      <c r="F26" s="190"/>
      <c r="G26" s="190"/>
      <c r="H26" s="190"/>
    </row>
    <row r="27" spans="1:8">
      <c r="A27" s="157" t="s">
        <v>573</v>
      </c>
      <c r="B27" s="193"/>
      <c r="C27" s="190"/>
      <c r="D27" s="190"/>
      <c r="E27" s="190"/>
      <c r="F27" s="190"/>
      <c r="G27" s="190"/>
      <c r="H27" s="190"/>
    </row>
    <row r="28" spans="1:8">
      <c r="A28" s="192" t="s">
        <v>574</v>
      </c>
      <c r="B28" s="193">
        <v>29</v>
      </c>
      <c r="C28" s="190"/>
      <c r="D28" s="190"/>
      <c r="E28" s="190"/>
      <c r="F28" s="190"/>
      <c r="G28" s="190"/>
      <c r="H28" s="190"/>
    </row>
    <row r="29" spans="1:8">
      <c r="A29" s="192" t="s">
        <v>575</v>
      </c>
      <c r="B29" s="193">
        <v>175</v>
      </c>
      <c r="C29" s="190"/>
      <c r="D29" s="190"/>
      <c r="E29" s="190"/>
      <c r="F29" s="190"/>
      <c r="G29" s="190"/>
      <c r="H29" s="190"/>
    </row>
    <row r="30" spans="1:8">
      <c r="A30" s="192" t="s">
        <v>576</v>
      </c>
      <c r="B30" s="193">
        <v>250</v>
      </c>
      <c r="C30" s="190"/>
      <c r="D30" s="190"/>
      <c r="E30" s="190"/>
      <c r="F30" s="190"/>
      <c r="G30" s="190"/>
      <c r="H30" s="190"/>
    </row>
    <row r="31" spans="1:8">
      <c r="A31" s="192" t="s">
        <v>577</v>
      </c>
      <c r="B31" s="193">
        <v>324</v>
      </c>
      <c r="C31" s="190"/>
      <c r="D31" s="190"/>
      <c r="E31" s="190"/>
      <c r="F31" s="190"/>
      <c r="G31" s="190"/>
      <c r="H31" s="190"/>
    </row>
    <row r="32" spans="1:8">
      <c r="A32" s="192" t="s">
        <v>578</v>
      </c>
      <c r="B32" s="193">
        <v>473</v>
      </c>
      <c r="C32" s="190"/>
      <c r="D32" s="190"/>
      <c r="E32" s="190"/>
      <c r="F32" s="190"/>
      <c r="G32" s="190"/>
      <c r="H32" s="190"/>
    </row>
    <row r="33" spans="1:8">
      <c r="A33" s="192" t="s">
        <v>579</v>
      </c>
      <c r="B33" s="193">
        <v>613</v>
      </c>
      <c r="C33" s="190"/>
      <c r="D33" s="190"/>
      <c r="E33" s="190"/>
      <c r="F33" s="190"/>
      <c r="G33" s="190"/>
      <c r="H33" s="190"/>
    </row>
    <row r="34" spans="1:8">
      <c r="A34" s="192" t="s">
        <v>580</v>
      </c>
      <c r="B34" s="193">
        <v>840</v>
      </c>
      <c r="C34" s="190"/>
      <c r="D34" s="190"/>
      <c r="E34" s="190"/>
      <c r="F34" s="190"/>
      <c r="G34" s="190"/>
      <c r="H34" s="190"/>
    </row>
    <row r="35" spans="1:8">
      <c r="A35" s="192" t="s">
        <v>581</v>
      </c>
      <c r="B35" s="193">
        <v>980</v>
      </c>
      <c r="C35" s="190"/>
      <c r="D35" s="190"/>
      <c r="E35" s="190"/>
      <c r="F35" s="190"/>
      <c r="G35" s="190"/>
      <c r="H35" s="190"/>
    </row>
    <row r="36" spans="1:8">
      <c r="A36" s="192" t="s">
        <v>582</v>
      </c>
      <c r="B36" s="193">
        <v>482</v>
      </c>
      <c r="C36" s="190" t="s">
        <v>583</v>
      </c>
      <c r="D36" s="190"/>
      <c r="E36" s="190"/>
      <c r="F36" s="190"/>
      <c r="G36" s="190"/>
      <c r="H36" s="190"/>
    </row>
    <row r="37" spans="1:8">
      <c r="A37" s="192" t="s">
        <v>584</v>
      </c>
      <c r="B37" s="193">
        <v>689</v>
      </c>
      <c r="C37" s="190" t="s">
        <v>583</v>
      </c>
      <c r="D37" s="190"/>
      <c r="E37" s="190"/>
      <c r="F37" s="190"/>
      <c r="G37" s="190"/>
      <c r="H37" s="190"/>
    </row>
    <row r="38" spans="1:8">
      <c r="A38" s="192" t="s">
        <v>585</v>
      </c>
      <c r="B38" s="193">
        <v>892</v>
      </c>
      <c r="C38" s="190" t="s">
        <v>583</v>
      </c>
      <c r="D38" s="190"/>
      <c r="E38" s="190"/>
      <c r="F38" s="190"/>
      <c r="G38" s="190"/>
      <c r="H38" s="190"/>
    </row>
    <row r="39" spans="1:8">
      <c r="A39" s="192" t="s">
        <v>586</v>
      </c>
      <c r="B39" s="193">
        <v>1301</v>
      </c>
      <c r="C39" s="190"/>
      <c r="D39" s="190"/>
      <c r="E39" s="190"/>
      <c r="F39" s="190"/>
      <c r="G39" s="190"/>
      <c r="H39" s="190"/>
    </row>
    <row r="40" spans="1:8">
      <c r="A40" s="192" t="s">
        <v>587</v>
      </c>
      <c r="B40" s="193">
        <v>1686</v>
      </c>
      <c r="C40" s="190"/>
      <c r="D40" s="190"/>
      <c r="E40" s="190"/>
      <c r="F40" s="190"/>
      <c r="G40" s="190"/>
      <c r="H40" s="190"/>
    </row>
    <row r="41" spans="1:8">
      <c r="A41" s="192" t="s">
        <v>588</v>
      </c>
      <c r="B41" s="193">
        <v>2046</v>
      </c>
      <c r="C41" s="190"/>
      <c r="D41" s="190"/>
      <c r="E41" s="190"/>
      <c r="F41" s="190"/>
      <c r="G41" s="190"/>
      <c r="H41" s="190"/>
    </row>
    <row r="42" spans="1:8">
      <c r="A42" s="192" t="s">
        <v>589</v>
      </c>
      <c r="B42" s="193">
        <v>2310</v>
      </c>
      <c r="C42" s="190"/>
      <c r="D42" s="190"/>
      <c r="E42" s="190"/>
      <c r="F42" s="190"/>
      <c r="G42" s="190"/>
      <c r="H42" s="190"/>
    </row>
    <row r="43" spans="1:8">
      <c r="A43" s="192" t="s">
        <v>590</v>
      </c>
      <c r="B43" s="193">
        <v>2800</v>
      </c>
      <c r="C43" s="190" t="s">
        <v>583</v>
      </c>
      <c r="D43" s="190"/>
      <c r="E43" s="190"/>
      <c r="F43" s="190"/>
      <c r="G43" s="190"/>
      <c r="H43" s="190"/>
    </row>
    <row r="44" spans="1:8">
      <c r="A44" s="192" t="s">
        <v>591</v>
      </c>
      <c r="B44" s="193">
        <v>125</v>
      </c>
      <c r="C44" s="190"/>
      <c r="D44" s="190"/>
      <c r="E44" s="190"/>
      <c r="F44" s="190"/>
      <c r="G44" s="190"/>
      <c r="H44" s="190"/>
    </row>
    <row r="45" spans="1:8">
      <c r="B45" s="359" t="s">
        <v>592</v>
      </c>
      <c r="C45" s="359"/>
    </row>
    <row r="48" spans="1:8">
      <c r="A48" s="197" t="s">
        <v>634</v>
      </c>
      <c r="B48" s="321" t="s">
        <v>652</v>
      </c>
      <c r="C48" s="321" t="s">
        <v>593</v>
      </c>
      <c r="D48" s="321" t="s">
        <v>633</v>
      </c>
      <c r="E48" s="321" t="s">
        <v>593</v>
      </c>
      <c r="F48" s="360" t="s">
        <v>594</v>
      </c>
      <c r="G48" s="360"/>
    </row>
    <row r="49" spans="1:7">
      <c r="A49" s="199" t="s">
        <v>595</v>
      </c>
      <c r="B49" s="322">
        <v>144.97</v>
      </c>
      <c r="C49" s="323">
        <f>B49/2000</f>
        <v>7.2484999999999994E-2</v>
      </c>
      <c r="D49" s="328">
        <v>102.13</v>
      </c>
      <c r="E49" s="323">
        <f>D49/2000</f>
        <v>5.1064999999999999E-2</v>
      </c>
      <c r="F49" s="186" t="s">
        <v>596</v>
      </c>
      <c r="G49" s="200">
        <f>0.015</f>
        <v>1.4999999999999999E-2</v>
      </c>
    </row>
    <row r="50" spans="1:7">
      <c r="A50" s="199" t="s">
        <v>597</v>
      </c>
      <c r="B50" s="324">
        <v>145.84</v>
      </c>
      <c r="C50" s="325">
        <f>B50/2000</f>
        <v>7.2919999999999999E-2</v>
      </c>
      <c r="D50" s="329">
        <v>102.13</v>
      </c>
      <c r="E50" s="325">
        <f>D50/2000</f>
        <v>5.1064999999999999E-2</v>
      </c>
      <c r="F50" s="186" t="s">
        <v>598</v>
      </c>
      <c r="G50" s="201">
        <f>0.004275</f>
        <v>4.2750000000000002E-3</v>
      </c>
    </row>
    <row r="51" spans="1:7">
      <c r="A51" s="192" t="s">
        <v>441</v>
      </c>
      <c r="B51" s="322">
        <f>B50-B49</f>
        <v>0.87000000000000455</v>
      </c>
      <c r="C51" s="326">
        <f>C50-C49</f>
        <v>4.3500000000000483E-4</v>
      </c>
      <c r="D51" s="330">
        <f>D50-D49</f>
        <v>0</v>
      </c>
      <c r="E51" s="326">
        <f>E50-E49</f>
        <v>0</v>
      </c>
      <c r="F51" s="186" t="s">
        <v>599</v>
      </c>
      <c r="G51" s="202"/>
    </row>
    <row r="52" spans="1:7">
      <c r="B52" s="341">
        <f>B51/B49</f>
        <v>6.0012416362006243E-3</v>
      </c>
      <c r="C52" s="157"/>
      <c r="D52" s="341">
        <f>D51/D49</f>
        <v>0</v>
      </c>
      <c r="F52" s="186" t="s">
        <v>368</v>
      </c>
      <c r="G52" s="203">
        <f>SUM(G49:G51)</f>
        <v>1.9275E-2</v>
      </c>
    </row>
    <row r="53" spans="1:7">
      <c r="B53" s="341"/>
      <c r="C53" s="157"/>
      <c r="D53" s="341"/>
      <c r="G53" s="203"/>
    </row>
    <row r="54" spans="1:7">
      <c r="B54" s="341"/>
      <c r="C54" s="157"/>
      <c r="D54" s="341"/>
      <c r="F54" s="186" t="s">
        <v>432</v>
      </c>
      <c r="G54" s="205">
        <f>1-G52</f>
        <v>0.98072499999999996</v>
      </c>
    </row>
    <row r="55" spans="1:7">
      <c r="B55" s="198" t="s">
        <v>600</v>
      </c>
      <c r="C55" s="198" t="s">
        <v>633</v>
      </c>
      <c r="D55" s="198" t="s">
        <v>657</v>
      </c>
    </row>
    <row r="56" spans="1:7">
      <c r="A56" s="186" t="s">
        <v>601</v>
      </c>
      <c r="B56" s="204">
        <f>B51</f>
        <v>0.87000000000000455</v>
      </c>
      <c r="C56" s="204">
        <f>D51</f>
        <v>0</v>
      </c>
      <c r="D56" s="204">
        <f>B51</f>
        <v>0.87000000000000455</v>
      </c>
    </row>
    <row r="57" spans="1:7">
      <c r="A57" s="186" t="s">
        <v>602</v>
      </c>
      <c r="B57" s="204">
        <f>B56/$G$54</f>
        <v>0.88709882994723754</v>
      </c>
      <c r="C57" s="204">
        <f>C56/$G$54</f>
        <v>0</v>
      </c>
    </row>
    <row r="58" spans="1:7">
      <c r="A58" s="186" t="s">
        <v>603</v>
      </c>
      <c r="B58" s="206">
        <f>'PCR Disposal'!N22</f>
        <v>66100.327620506214</v>
      </c>
      <c r="C58" s="297">
        <f>'EQR Disposal'!B21</f>
        <v>4850.3900000000003</v>
      </c>
      <c r="D58" s="342">
        <f>'PCR Disposal'!N16</f>
        <v>18962.592042387601</v>
      </c>
    </row>
    <row r="59" spans="1:7">
      <c r="A59" s="157" t="s">
        <v>604</v>
      </c>
      <c r="B59" s="207">
        <f>B57*B58</f>
        <v>58637.523291280129</v>
      </c>
      <c r="C59" s="207">
        <f t="shared" ref="C59" si="0">C57*C58</f>
        <v>0</v>
      </c>
      <c r="D59" s="207">
        <f>D56*D58</f>
        <v>16497.455076877301</v>
      </c>
    </row>
    <row r="60" spans="1:7">
      <c r="C60" s="207"/>
    </row>
    <row r="62" spans="1:7" ht="15.75" thickBot="1"/>
    <row r="63" spans="1:7">
      <c r="A63" s="208" t="s">
        <v>605</v>
      </c>
      <c r="B63" s="209" t="s">
        <v>606</v>
      </c>
      <c r="C63" s="343" t="s">
        <v>633</v>
      </c>
      <c r="D63" s="204"/>
    </row>
    <row r="64" spans="1:7">
      <c r="A64" s="210" t="s">
        <v>607</v>
      </c>
      <c r="B64" s="211">
        <f>'Staff Calcs '!Q183</f>
        <v>58401.433383094489</v>
      </c>
      <c r="C64" s="344">
        <f>'Staff Calcs '!Q190</f>
        <v>0</v>
      </c>
    </row>
    <row r="65" spans="1:3">
      <c r="A65" s="210" t="s">
        <v>608</v>
      </c>
      <c r="B65" s="211">
        <f>B64-B59</f>
        <v>-236.08990818564052</v>
      </c>
      <c r="C65" s="345">
        <f>C64-C59</f>
        <v>0</v>
      </c>
    </row>
    <row r="66" spans="1:3">
      <c r="A66" s="210"/>
      <c r="B66" s="212"/>
      <c r="C66" s="346"/>
    </row>
    <row r="67" spans="1:3">
      <c r="A67" s="213" t="s">
        <v>609</v>
      </c>
      <c r="B67" s="214" t="s">
        <v>606</v>
      </c>
      <c r="C67" s="347" t="s">
        <v>633</v>
      </c>
    </row>
    <row r="68" spans="1:3">
      <c r="A68" s="210" t="s">
        <v>610</v>
      </c>
      <c r="B68" s="215"/>
      <c r="C68" s="348"/>
    </row>
    <row r="69" spans="1:3" ht="15.75" thickBot="1">
      <c r="A69" s="216" t="s">
        <v>608</v>
      </c>
      <c r="B69" s="217"/>
      <c r="C69" s="349"/>
    </row>
    <row r="71" spans="1:3">
      <c r="A71" s="230"/>
      <c r="B71" s="204"/>
      <c r="C71" s="204"/>
    </row>
  </sheetData>
  <mergeCells count="4">
    <mergeCell ref="A1:H1"/>
    <mergeCell ref="A13:B13"/>
    <mergeCell ref="B45:C45"/>
    <mergeCell ref="F48:G48"/>
  </mergeCells>
  <pageMargins left="0.28000000000000003" right="0.52" top="0.75" bottom="0.75" header="0.3" footer="0.3"/>
  <pageSetup scale="62" orientation="portrait" r:id="rId1"/>
  <headerFooter>
    <oddHeader>&amp;C&amp;"-,Bold"&amp;12Harold LeMay Enterprises, Inc.
dba Pierce County Refuse&amp;"-,Regular"
Disposal Fee Reference</oddHeader>
    <oddFooter>&amp;L&amp;F - &amp;A&amp;C&amp;D&amp;R&amp;P of &amp;N</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U227"/>
  <sheetViews>
    <sheetView zoomScale="90" zoomScaleNormal="90" workbookViewId="0">
      <selection activeCell="J1" sqref="J1"/>
    </sheetView>
  </sheetViews>
  <sheetFormatPr defaultColWidth="8.85546875" defaultRowHeight="15"/>
  <cols>
    <col min="1" max="1" width="4.5703125" style="221" customWidth="1"/>
    <col min="2" max="2" width="10.85546875" style="257" bestFit="1" customWidth="1"/>
    <col min="3" max="3" width="31.7109375" style="221" bestFit="1" customWidth="1"/>
    <col min="4" max="4" width="16.28515625" style="259" customWidth="1"/>
    <col min="5" max="5" width="13" style="221" customWidth="1"/>
    <col min="6" max="6" width="11.28515625" style="221" bestFit="1" customWidth="1"/>
    <col min="7" max="7" width="14.5703125" style="221" bestFit="1" customWidth="1"/>
    <col min="8" max="8" width="14.42578125" style="221" customWidth="1"/>
    <col min="9" max="9" width="14.7109375" style="256" customWidth="1"/>
    <col min="10" max="10" width="14.28515625" style="221" customWidth="1"/>
    <col min="11" max="11" width="14.7109375" style="221" customWidth="1"/>
    <col min="12" max="12" width="9.85546875" style="221" bestFit="1" customWidth="1"/>
    <col min="13" max="13" width="16.7109375" style="221" bestFit="1" customWidth="1"/>
    <col min="14" max="14" width="15.28515625" style="221" customWidth="1"/>
    <col min="15" max="15" width="16.140625" style="221" bestFit="1" customWidth="1"/>
    <col min="16" max="16" width="16.85546875" style="221" customWidth="1"/>
    <col min="17" max="17" width="14.85546875" style="221" customWidth="1"/>
    <col min="18" max="18" width="13.28515625" style="221" bestFit="1" customWidth="1"/>
    <col min="19" max="19" width="9.42578125" style="221" customWidth="1"/>
    <col min="20" max="20" width="12.42578125" style="221" bestFit="1" customWidth="1"/>
    <col min="21" max="16384" width="8.85546875" style="221"/>
  </cols>
  <sheetData>
    <row r="1" spans="1:21" ht="94.5" customHeight="1">
      <c r="A1" s="327"/>
      <c r="B1" s="361" t="s">
        <v>664</v>
      </c>
      <c r="C1" s="362"/>
      <c r="D1" s="362"/>
      <c r="E1" s="362"/>
      <c r="F1" s="362"/>
      <c r="G1" s="362"/>
      <c r="H1" s="362"/>
      <c r="O1" s="293"/>
    </row>
    <row r="2" spans="1:21" ht="43.15" customHeight="1">
      <c r="A2" s="197"/>
      <c r="B2" s="218" t="s">
        <v>611</v>
      </c>
      <c r="C2" s="219" t="s">
        <v>612</v>
      </c>
      <c r="D2" s="218" t="s">
        <v>613</v>
      </c>
      <c r="E2" s="218" t="s">
        <v>419</v>
      </c>
      <c r="F2" s="197" t="s">
        <v>420</v>
      </c>
      <c r="G2" s="218" t="s">
        <v>554</v>
      </c>
      <c r="H2" s="218" t="s">
        <v>614</v>
      </c>
      <c r="I2" s="220" t="s">
        <v>615</v>
      </c>
      <c r="J2" s="218" t="s">
        <v>441</v>
      </c>
      <c r="K2" s="218" t="s">
        <v>616</v>
      </c>
      <c r="L2" s="218" t="s">
        <v>617</v>
      </c>
      <c r="M2" s="331" t="s">
        <v>618</v>
      </c>
      <c r="N2" s="331" t="s">
        <v>619</v>
      </c>
      <c r="O2" s="218" t="s">
        <v>620</v>
      </c>
      <c r="P2" s="218" t="s">
        <v>621</v>
      </c>
      <c r="Q2" s="218" t="s">
        <v>622</v>
      </c>
      <c r="R2" s="218" t="s">
        <v>514</v>
      </c>
    </row>
    <row r="3" spans="1:21" s="230" customFormat="1">
      <c r="A3" s="364"/>
      <c r="B3" s="222">
        <v>21</v>
      </c>
      <c r="C3" s="223" t="str">
        <f>'2180 (Reg.) - Price Out '!B10</f>
        <v>20 GL 1X WK 1</v>
      </c>
      <c r="D3" s="224">
        <f>'2180 (Reg.) - Price Out '!I10</f>
        <v>26.735824328118152</v>
      </c>
      <c r="E3" s="225">
        <f>References!$B$7</f>
        <v>4.333333333333333</v>
      </c>
      <c r="F3" s="235">
        <f>D3*E3*12</f>
        <v>1390.2628650621436</v>
      </c>
      <c r="G3" s="226">
        <f>References!$B$15</f>
        <v>20</v>
      </c>
      <c r="H3" s="226">
        <f>F3*G3</f>
        <v>27805.257301242873</v>
      </c>
      <c r="I3" s="227">
        <f t="shared" ref="I3:I34" si="0">$D$219*H3</f>
        <v>22915.927727603041</v>
      </c>
      <c r="J3" s="228">
        <f>References!$C$51*'Staff Calcs '!I3</f>
        <v>9.9684285615074337</v>
      </c>
      <c r="K3" s="228">
        <f>J3/References!$G$54</f>
        <v>10.164346337156118</v>
      </c>
      <c r="L3" s="237">
        <f>(K3/F3*E3)</f>
        <v>3.1681419320924158E-2</v>
      </c>
      <c r="M3" s="229">
        <f>'Rate Sheet'!C12</f>
        <v>13.25</v>
      </c>
      <c r="N3" s="228">
        <f>L3+M3</f>
        <v>13.281681419320924</v>
      </c>
      <c r="O3" s="228">
        <f>D3*M3*12</f>
        <v>4250.9960681707862</v>
      </c>
      <c r="P3" s="237">
        <f>D3*N3*12</f>
        <v>4261.1604145079418</v>
      </c>
      <c r="Q3" s="228">
        <f>P3-O3</f>
        <v>10.164346337155621</v>
      </c>
      <c r="R3" s="303">
        <f t="shared" ref="R3:R20" si="1">Q3-K3</f>
        <v>-4.9737991503207013E-13</v>
      </c>
      <c r="S3" s="303"/>
      <c r="T3" s="351"/>
      <c r="U3" s="303"/>
    </row>
    <row r="4" spans="1:21" s="230" customFormat="1">
      <c r="A4" s="365"/>
      <c r="B4" s="231">
        <v>21</v>
      </c>
      <c r="C4" s="232" t="str">
        <f>'2180 (Reg.) - Price Out '!B11</f>
        <v>20 GL 1X WK NO RECY 1</v>
      </c>
      <c r="D4" s="233">
        <f>'2180 (Reg.) - Price Out '!I11</f>
        <v>0.33333333333333331</v>
      </c>
      <c r="E4" s="234">
        <f>References!$B$7</f>
        <v>4.333333333333333</v>
      </c>
      <c r="F4" s="235">
        <f>D4*E4*12</f>
        <v>17.333333333333329</v>
      </c>
      <c r="G4" s="235">
        <f>References!$B$15</f>
        <v>20</v>
      </c>
      <c r="H4" s="235">
        <f>F4*G4</f>
        <v>346.66666666666657</v>
      </c>
      <c r="I4" s="236">
        <f t="shared" si="0"/>
        <v>285.70813759552175</v>
      </c>
      <c r="J4" s="237">
        <f>References!$C$51*'Staff Calcs '!I4</f>
        <v>0.12428303985405334</v>
      </c>
      <c r="K4" s="237">
        <f>J4/References!$G$54</f>
        <v>0.1267256772836966</v>
      </c>
      <c r="L4" s="237">
        <f t="shared" ref="L4:L32" si="2">(K4/F4*E4)</f>
        <v>3.1681419320924158E-2</v>
      </c>
      <c r="M4" s="238">
        <f>'Rate Sheet'!C13</f>
        <v>14.25</v>
      </c>
      <c r="N4" s="237">
        <f>L4+M4</f>
        <v>14.281681419320924</v>
      </c>
      <c r="O4" s="237">
        <f>D4*M4*12</f>
        <v>57</v>
      </c>
      <c r="P4" s="237">
        <f t="shared" ref="P4:P31" si="3">D4*N4*12</f>
        <v>57.126725677283687</v>
      </c>
      <c r="Q4" s="237">
        <f>P4-O4</f>
        <v>0.12672567728368733</v>
      </c>
      <c r="R4" s="303">
        <f t="shared" si="1"/>
        <v>-9.2703622556200571E-15</v>
      </c>
      <c r="S4" s="303"/>
      <c r="T4" s="351"/>
      <c r="U4" s="303"/>
    </row>
    <row r="5" spans="1:21" s="230" customFormat="1">
      <c r="A5" s="365"/>
      <c r="B5" s="231">
        <v>21</v>
      </c>
      <c r="C5" s="232" t="str">
        <f>'2180 (Reg.) - Price Out '!B12</f>
        <v>32 GL 1X MO NO RECY 1</v>
      </c>
      <c r="D5" s="233">
        <f>'2180 (Reg.) - Price Out '!I12</f>
        <v>13.693385895751206</v>
      </c>
      <c r="E5" s="234">
        <f>References!$B$9</f>
        <v>1</v>
      </c>
      <c r="F5" s="235">
        <f t="shared" ref="F5:F75" si="4">D5*E5*12</f>
        <v>164.32063074901447</v>
      </c>
      <c r="G5" s="235">
        <f>References!$B$16</f>
        <v>34</v>
      </c>
      <c r="H5" s="235">
        <f>F5*G5</f>
        <v>5586.9014454664921</v>
      </c>
      <c r="I5" s="236">
        <f t="shared" si="0"/>
        <v>4604.4900199441163</v>
      </c>
      <c r="J5" s="237">
        <f>References!$C$51*'Staff Calcs '!I5</f>
        <v>2.0029531586757128</v>
      </c>
      <c r="K5" s="237">
        <f>J5/References!$G$54</f>
        <v>2.0423188545980913</v>
      </c>
      <c r="L5" s="237">
        <f t="shared" si="2"/>
        <v>1.2428864502824094E-2</v>
      </c>
      <c r="M5" s="238">
        <f>'Rate Sheet'!C27</f>
        <v>8.2899999999999991</v>
      </c>
      <c r="N5" s="237">
        <f t="shared" ref="N5:N16" si="5">L5+M5</f>
        <v>8.3024288645028239</v>
      </c>
      <c r="O5" s="237">
        <f t="shared" ref="O5:O31" si="6">D5*M5*12</f>
        <v>1362.2180289093299</v>
      </c>
      <c r="P5" s="237">
        <f t="shared" si="3"/>
        <v>1364.2603477639279</v>
      </c>
      <c r="Q5" s="237">
        <f>P5-O5</f>
        <v>2.0423188545980793</v>
      </c>
      <c r="R5" s="303">
        <f t="shared" si="1"/>
        <v>-1.1990408665951691E-14</v>
      </c>
      <c r="S5" s="303"/>
      <c r="T5" s="351"/>
      <c r="U5" s="303"/>
    </row>
    <row r="6" spans="1:21" s="230" customFormat="1">
      <c r="A6" s="365"/>
      <c r="B6" s="231">
        <v>21</v>
      </c>
      <c r="C6" s="232" t="str">
        <f>'2180 (Reg.) - Price Out '!B13</f>
        <v>32 GL 1X MO W/RECY 1</v>
      </c>
      <c r="D6" s="233">
        <f>'2180 (Reg.) - Price Out '!I13</f>
        <v>138.33132223747052</v>
      </c>
      <c r="E6" s="234">
        <f>References!$B$9</f>
        <v>1</v>
      </c>
      <c r="F6" s="235">
        <f t="shared" si="4"/>
        <v>1659.9758668496461</v>
      </c>
      <c r="G6" s="235">
        <f>References!$B$16</f>
        <v>34</v>
      </c>
      <c r="H6" s="235">
        <f t="shared" ref="H6:H31" si="7">F6*G6</f>
        <v>56439.179472887969</v>
      </c>
      <c r="I6" s="236">
        <f t="shared" si="0"/>
        <v>46514.806311398737</v>
      </c>
      <c r="J6" s="237">
        <f>References!$C$51*'Staff Calcs '!I6</f>
        <v>20.233940745458675</v>
      </c>
      <c r="K6" s="237">
        <f>J6/References!$G$54</f>
        <v>20.631615127032223</v>
      </c>
      <c r="L6" s="237">
        <f t="shared" si="2"/>
        <v>1.2428864502824094E-2</v>
      </c>
      <c r="M6" s="238">
        <f>'Rate Sheet'!C26</f>
        <v>7.29</v>
      </c>
      <c r="N6" s="237">
        <f t="shared" si="5"/>
        <v>7.3024288645028239</v>
      </c>
      <c r="O6" s="237">
        <f t="shared" si="6"/>
        <v>12101.224069333921</v>
      </c>
      <c r="P6" s="237">
        <f t="shared" si="3"/>
        <v>12121.855684460952</v>
      </c>
      <c r="Q6" s="237">
        <f t="shared" ref="Q6:Q17" si="8">P6-O6</f>
        <v>20.631615127031182</v>
      </c>
      <c r="R6" s="303">
        <f t="shared" si="1"/>
        <v>-1.0409451078885468E-12</v>
      </c>
      <c r="S6" s="303"/>
      <c r="T6" s="351"/>
      <c r="U6" s="303"/>
    </row>
    <row r="7" spans="1:21" s="230" customFormat="1">
      <c r="A7" s="365"/>
      <c r="B7" s="231">
        <v>21</v>
      </c>
      <c r="C7" s="232" t="str">
        <f>'2180 (Reg.) - Price Out '!B14</f>
        <v>32 GL 1X WK NO RECY 1</v>
      </c>
      <c r="D7" s="233">
        <f>'2180 (Reg.) - Price Out '!I14</f>
        <v>393.50021947797592</v>
      </c>
      <c r="E7" s="234">
        <f>References!$B$7</f>
        <v>4.333333333333333</v>
      </c>
      <c r="F7" s="235">
        <f t="shared" si="4"/>
        <v>20462.011412854747</v>
      </c>
      <c r="G7" s="235">
        <f>References!$B$16</f>
        <v>34</v>
      </c>
      <c r="H7" s="235">
        <f t="shared" si="7"/>
        <v>695708.38803706144</v>
      </c>
      <c r="I7" s="236">
        <f t="shared" si="0"/>
        <v>573373.69573745609</v>
      </c>
      <c r="J7" s="237">
        <f>References!$C$51*'Staff Calcs '!I7</f>
        <v>249.41755764579617</v>
      </c>
      <c r="K7" s="237">
        <f>J7/References!$G$54</f>
        <v>254.31956730561186</v>
      </c>
      <c r="L7" s="237">
        <f t="shared" si="2"/>
        <v>5.3858412845571073E-2</v>
      </c>
      <c r="M7" s="238">
        <f>'Rate Sheet'!C15</f>
        <v>18.739999999999998</v>
      </c>
      <c r="N7" s="237">
        <f t="shared" si="5"/>
        <v>18.793858412845569</v>
      </c>
      <c r="O7" s="237">
        <f t="shared" si="6"/>
        <v>88490.329356207221</v>
      </c>
      <c r="P7" s="237">
        <f t="shared" si="3"/>
        <v>88744.648923512825</v>
      </c>
      <c r="Q7" s="237">
        <f t="shared" si="8"/>
        <v>254.31956730560341</v>
      </c>
      <c r="R7" s="303">
        <f t="shared" si="1"/>
        <v>-8.4412477008299902E-12</v>
      </c>
      <c r="S7" s="303"/>
      <c r="T7" s="351"/>
      <c r="U7" s="303"/>
    </row>
    <row r="8" spans="1:21" s="230" customFormat="1">
      <c r="A8" s="365"/>
      <c r="B8" s="231">
        <v>21</v>
      </c>
      <c r="C8" s="232" t="str">
        <f>'2180 (Reg.) - Price Out '!B15</f>
        <v>32 GL 1X WK W/RECY 1</v>
      </c>
      <c r="D8" s="233">
        <f>'2180 (Reg.) - Price Out '!I15</f>
        <v>3893.5061498104646</v>
      </c>
      <c r="E8" s="234">
        <f>References!$B$7</f>
        <v>4.333333333333333</v>
      </c>
      <c r="F8" s="235">
        <f t="shared" si="4"/>
        <v>202462.31979014413</v>
      </c>
      <c r="G8" s="235">
        <f>References!$B$16</f>
        <v>34</v>
      </c>
      <c r="H8" s="235">
        <f t="shared" si="7"/>
        <v>6883718.8728649002</v>
      </c>
      <c r="I8" s="236">
        <f t="shared" si="0"/>
        <v>5673272.5929731987</v>
      </c>
      <c r="J8" s="237">
        <f>References!$C$51*'Staff Calcs '!I8</f>
        <v>2467.8735779433687</v>
      </c>
      <c r="K8" s="237">
        <f>J8/References!$G$54</f>
        <v>2516.3767395991422</v>
      </c>
      <c r="L8" s="237">
        <f t="shared" si="2"/>
        <v>5.3858412845571066E-2</v>
      </c>
      <c r="M8" s="238">
        <f>'Rate Sheet'!C14</f>
        <v>17.739999999999998</v>
      </c>
      <c r="N8" s="237">
        <f t="shared" si="5"/>
        <v>17.793858412845569</v>
      </c>
      <c r="O8" s="237">
        <f t="shared" si="6"/>
        <v>828849.58917165152</v>
      </c>
      <c r="P8" s="237">
        <f t="shared" si="3"/>
        <v>831365.96591125079</v>
      </c>
      <c r="Q8" s="237">
        <f t="shared" si="8"/>
        <v>2516.3767395992763</v>
      </c>
      <c r="R8" s="303">
        <f t="shared" si="1"/>
        <v>1.3415046851150692E-10</v>
      </c>
      <c r="S8" s="303"/>
      <c r="T8" s="351"/>
      <c r="U8" s="303"/>
    </row>
    <row r="9" spans="1:21" s="230" customFormat="1">
      <c r="A9" s="365"/>
      <c r="B9" s="231">
        <v>21</v>
      </c>
      <c r="C9" s="232" t="str">
        <f>'2180 (Reg.) - Price Out '!B16</f>
        <v>32 GL 1X WK NO RECY 2</v>
      </c>
      <c r="D9" s="233">
        <f>'2180 (Reg.) - Price Out '!I16</f>
        <v>51.995448398456325</v>
      </c>
      <c r="E9" s="234">
        <f>References!$B$7</f>
        <v>4.333333333333333</v>
      </c>
      <c r="F9" s="235">
        <f t="shared" si="4"/>
        <v>2703.7633167197291</v>
      </c>
      <c r="G9" s="235">
        <f>References!$B$17</f>
        <v>51</v>
      </c>
      <c r="H9" s="235">
        <f t="shared" si="7"/>
        <v>137891.92915270617</v>
      </c>
      <c r="I9" s="236">
        <f t="shared" si="0"/>
        <v>113644.74884905767</v>
      </c>
      <c r="J9" s="237">
        <f>References!$C$51*'Staff Calcs '!I9</f>
        <v>49.435465749340636</v>
      </c>
      <c r="K9" s="237">
        <f>J9/References!$G$54</f>
        <v>50.407061866823668</v>
      </c>
      <c r="L9" s="237">
        <f t="shared" si="2"/>
        <v>8.0787619268356592E-2</v>
      </c>
      <c r="M9" s="238">
        <f>'Rate Sheet'!C17</f>
        <v>28.11</v>
      </c>
      <c r="N9" s="237">
        <f t="shared" si="5"/>
        <v>28.190787619268356</v>
      </c>
      <c r="O9" s="237">
        <f t="shared" si="6"/>
        <v>17539.104653767288</v>
      </c>
      <c r="P9" s="237">
        <f t="shared" si="3"/>
        <v>17589.511715634111</v>
      </c>
      <c r="Q9" s="237">
        <f t="shared" si="8"/>
        <v>50.407061866822914</v>
      </c>
      <c r="R9" s="303">
        <f t="shared" si="1"/>
        <v>-7.531752999057062E-13</v>
      </c>
      <c r="S9" s="303"/>
      <c r="T9" s="351"/>
      <c r="U9" s="303"/>
    </row>
    <row r="10" spans="1:21" s="230" customFormat="1">
      <c r="A10" s="365"/>
      <c r="B10" s="231">
        <v>21</v>
      </c>
      <c r="C10" s="304" t="str">
        <f>'2180 (Reg.) - Price Out '!B17</f>
        <v>32 GL 1X WK W/RECY 2</v>
      </c>
      <c r="D10" s="233">
        <f>'2180 (Reg.) - Price Out '!I17</f>
        <v>600.79724849646243</v>
      </c>
      <c r="E10" s="234">
        <f>References!$B$7</f>
        <v>4.333333333333333</v>
      </c>
      <c r="F10" s="235">
        <f t="shared" si="4"/>
        <v>31241.456921816047</v>
      </c>
      <c r="G10" s="235">
        <f>References!$B$17</f>
        <v>51</v>
      </c>
      <c r="H10" s="235">
        <f t="shared" si="7"/>
        <v>1593314.3030126183</v>
      </c>
      <c r="I10" s="236">
        <f t="shared" si="0"/>
        <v>1313142.8714943524</v>
      </c>
      <c r="J10" s="237">
        <f>References!$C$51*'Staff Calcs '!I10</f>
        <v>571.2171491000496</v>
      </c>
      <c r="K10" s="237">
        <f>J10/References!$G$54</f>
        <v>582.44375242810122</v>
      </c>
      <c r="L10" s="237">
        <f t="shared" si="2"/>
        <v>8.0787619268356592E-2</v>
      </c>
      <c r="M10" s="238">
        <f>'Rate Sheet'!C16</f>
        <v>26.11</v>
      </c>
      <c r="N10" s="237">
        <f t="shared" si="5"/>
        <v>26.190787619268356</v>
      </c>
      <c r="O10" s="237">
        <f t="shared" si="6"/>
        <v>188241.79389891159</v>
      </c>
      <c r="P10" s="237">
        <f t="shared" si="3"/>
        <v>188824.2376513397</v>
      </c>
      <c r="Q10" s="237">
        <f t="shared" si="8"/>
        <v>582.44375242810929</v>
      </c>
      <c r="R10" s="303">
        <f t="shared" si="1"/>
        <v>8.0717654782347381E-12</v>
      </c>
      <c r="S10" s="303"/>
      <c r="T10" s="351"/>
      <c r="U10" s="303"/>
    </row>
    <row r="11" spans="1:21" s="230" customFormat="1">
      <c r="A11" s="365"/>
      <c r="B11" s="231">
        <v>21</v>
      </c>
      <c r="C11" s="232" t="str">
        <f>'2180 (Reg.) - Price Out '!B18</f>
        <v>32 GL 1X WK NO RECY 3</v>
      </c>
      <c r="D11" s="233">
        <f>'2180 (Reg.) - Price Out '!I18</f>
        <v>3.5324255191092391</v>
      </c>
      <c r="E11" s="234">
        <f>References!$B$7</f>
        <v>4.333333333333333</v>
      </c>
      <c r="F11" s="235">
        <f t="shared" si="4"/>
        <v>183.6861269936804</v>
      </c>
      <c r="G11" s="235">
        <f>References!$B$18</f>
        <v>77</v>
      </c>
      <c r="H11" s="235">
        <f t="shared" si="7"/>
        <v>14143.831778513391</v>
      </c>
      <c r="I11" s="236">
        <f t="shared" si="0"/>
        <v>11656.753372798323</v>
      </c>
      <c r="J11" s="237">
        <f>References!$C$51*'Staff Calcs '!I11</f>
        <v>5.0706877171673268</v>
      </c>
      <c r="K11" s="237">
        <f>J11/References!$G$54</f>
        <v>5.170346138996484</v>
      </c>
      <c r="L11" s="237">
        <f t="shared" si="2"/>
        <v>0.12197346438555801</v>
      </c>
      <c r="M11" s="238">
        <f>'Rate Sheet'!C19</f>
        <v>37.93</v>
      </c>
      <c r="N11" s="237">
        <f t="shared" si="5"/>
        <v>38.051973464385554</v>
      </c>
      <c r="O11" s="237">
        <f t="shared" si="6"/>
        <v>1607.8187992777612</v>
      </c>
      <c r="P11" s="237">
        <f t="shared" si="3"/>
        <v>1612.9891454167575</v>
      </c>
      <c r="Q11" s="237">
        <f t="shared" si="8"/>
        <v>5.170346138996365</v>
      </c>
      <c r="R11" s="303">
        <f t="shared" si="1"/>
        <v>-1.1901590823981678E-13</v>
      </c>
      <c r="S11" s="303"/>
      <c r="T11" s="351"/>
      <c r="U11" s="303"/>
    </row>
    <row r="12" spans="1:21" s="230" customFormat="1">
      <c r="A12" s="365"/>
      <c r="B12" s="231">
        <v>21</v>
      </c>
      <c r="C12" s="232" t="str">
        <f>'2180 (Reg.) - Price Out '!B19</f>
        <v>32 GL 1X WK W/RECY 3</v>
      </c>
      <c r="D12" s="233">
        <f>'2180 (Reg.) - Price Out '!I19</f>
        <v>32.862609989692686</v>
      </c>
      <c r="E12" s="234">
        <f>References!$B$7</f>
        <v>4.333333333333333</v>
      </c>
      <c r="F12" s="235">
        <f>D12*E12*12</f>
        <v>1708.8557194640196</v>
      </c>
      <c r="G12" s="235">
        <f>References!$B$18</f>
        <v>77</v>
      </c>
      <c r="H12" s="239">
        <f>F12*G12</f>
        <v>131581.89039872951</v>
      </c>
      <c r="I12" s="236">
        <f t="shared" si="0"/>
        <v>108444.27936668968</v>
      </c>
      <c r="J12" s="237">
        <f>References!$C$51*'Staff Calcs '!I12</f>
        <v>47.173261524510529</v>
      </c>
      <c r="K12" s="237">
        <f>J12/References!$G$54</f>
        <v>48.100396670331165</v>
      </c>
      <c r="L12" s="237">
        <f t="shared" si="2"/>
        <v>0.12197346438555801</v>
      </c>
      <c r="M12" s="238">
        <f>'Rate Sheet'!C18</f>
        <v>34.93</v>
      </c>
      <c r="N12" s="237">
        <f t="shared" si="5"/>
        <v>35.051973464385554</v>
      </c>
      <c r="O12" s="237">
        <f t="shared" si="6"/>
        <v>13774.691603279585</v>
      </c>
      <c r="P12" s="237">
        <f t="shared" si="3"/>
        <v>13822.791999949915</v>
      </c>
      <c r="Q12" s="237">
        <f t="shared" si="8"/>
        <v>48.100396670330156</v>
      </c>
      <c r="R12" s="303">
        <f t="shared" si="1"/>
        <v>-1.0089706847793423E-12</v>
      </c>
      <c r="S12" s="303"/>
      <c r="T12" s="351"/>
      <c r="U12" s="303"/>
    </row>
    <row r="13" spans="1:21" s="230" customFormat="1">
      <c r="A13" s="365"/>
      <c r="B13" s="231">
        <v>21</v>
      </c>
      <c r="C13" s="232" t="str">
        <f>'2180 (Reg.) - Price Out '!B20</f>
        <v>32 GL 1X WK NO RECY 4</v>
      </c>
      <c r="D13" s="233">
        <f>'2180 (Reg.) - Price Out '!I20</f>
        <v>0.91666666666666663</v>
      </c>
      <c r="E13" s="234">
        <f>References!$B$7</f>
        <v>4.333333333333333</v>
      </c>
      <c r="F13" s="235">
        <f t="shared" si="4"/>
        <v>47.666666666666664</v>
      </c>
      <c r="G13" s="235">
        <f>References!$B$19</f>
        <v>97</v>
      </c>
      <c r="H13" s="235">
        <f t="shared" si="7"/>
        <v>4623.6666666666661</v>
      </c>
      <c r="I13" s="236">
        <f t="shared" si="0"/>
        <v>3810.632285180272</v>
      </c>
      <c r="J13" s="237">
        <f>References!$C$51*'Staff Calcs '!I13</f>
        <v>1.6576250440534368</v>
      </c>
      <c r="K13" s="237">
        <f>J13/References!$G$54</f>
        <v>1.6902037207713037</v>
      </c>
      <c r="L13" s="237">
        <f t="shared" si="2"/>
        <v>0.15365488370648214</v>
      </c>
      <c r="M13" s="238">
        <f>'Rate Sheet'!C21</f>
        <v>47.37</v>
      </c>
      <c r="N13" s="237">
        <f t="shared" si="5"/>
        <v>47.523654883706477</v>
      </c>
      <c r="O13" s="237">
        <f t="shared" si="6"/>
        <v>521.06999999999994</v>
      </c>
      <c r="P13" s="237">
        <f t="shared" si="3"/>
        <v>522.7602037207713</v>
      </c>
      <c r="Q13" s="237">
        <f t="shared" si="8"/>
        <v>1.6902037207713647</v>
      </c>
      <c r="R13" s="303">
        <f t="shared" si="1"/>
        <v>6.106226635438361E-14</v>
      </c>
      <c r="S13" s="303"/>
      <c r="T13" s="351"/>
      <c r="U13" s="303"/>
    </row>
    <row r="14" spans="1:21" s="230" customFormat="1">
      <c r="A14" s="365"/>
      <c r="B14" s="231">
        <v>21</v>
      </c>
      <c r="C14" s="232" t="str">
        <f>'2180 (Reg.) - Price Out '!B21</f>
        <v>32 GL 1X WK W/RECY 4</v>
      </c>
      <c r="D14" s="233">
        <f>'2180 (Reg.) - Price Out '!I21</f>
        <v>5.4530145865548372</v>
      </c>
      <c r="E14" s="234">
        <f>References!$B$7</f>
        <v>4.333333333333333</v>
      </c>
      <c r="F14" s="235">
        <f t="shared" si="4"/>
        <v>283.55675850085152</v>
      </c>
      <c r="G14" s="235">
        <f>References!$B$19</f>
        <v>97</v>
      </c>
      <c r="H14" s="235">
        <f t="shared" si="7"/>
        <v>27505.005574582596</v>
      </c>
      <c r="I14" s="236">
        <f t="shared" si="0"/>
        <v>22668.472838274345</v>
      </c>
      <c r="J14" s="237">
        <f>References!$C$51*'Staff Calcs '!I14</f>
        <v>9.8607856846494499</v>
      </c>
      <c r="K14" s="237">
        <f>J14/References!$G$54</f>
        <v>10.054587865762013</v>
      </c>
      <c r="L14" s="237">
        <f t="shared" si="2"/>
        <v>0.15365488370648217</v>
      </c>
      <c r="M14" s="238">
        <f>'Rate Sheet'!C20</f>
        <v>43.37</v>
      </c>
      <c r="N14" s="237">
        <f t="shared" si="5"/>
        <v>43.523654883706477</v>
      </c>
      <c r="O14" s="237">
        <f t="shared" si="6"/>
        <v>2837.9669114265989</v>
      </c>
      <c r="P14" s="237">
        <f t="shared" si="3"/>
        <v>2848.0214992923611</v>
      </c>
      <c r="Q14" s="237">
        <f t="shared" si="8"/>
        <v>10.054587865762187</v>
      </c>
      <c r="R14" s="303">
        <f t="shared" si="1"/>
        <v>1.7408297026122455E-13</v>
      </c>
      <c r="S14" s="303"/>
      <c r="T14" s="351"/>
      <c r="U14" s="303"/>
    </row>
    <row r="15" spans="1:21" s="230" customFormat="1">
      <c r="A15" s="365"/>
      <c r="B15" s="231">
        <v>21</v>
      </c>
      <c r="C15" s="232" t="str">
        <f>'2180 (Reg.) - Price Out '!B22</f>
        <v>32 GL 1X WK W/RECY 1</v>
      </c>
      <c r="D15" s="233">
        <f>'2180 (Reg.) - Price Out '!I22</f>
        <v>8.0790239534363106</v>
      </c>
      <c r="E15" s="234">
        <f>References!$B$7</f>
        <v>4.333333333333333</v>
      </c>
      <c r="F15" s="235">
        <f t="shared" si="4"/>
        <v>420.10924557868816</v>
      </c>
      <c r="G15" s="235">
        <f>References!$B$16</f>
        <v>34</v>
      </c>
      <c r="H15" s="235">
        <f t="shared" si="7"/>
        <v>14283.714349675398</v>
      </c>
      <c r="I15" s="236">
        <f t="shared" si="0"/>
        <v>11772.038725362083</v>
      </c>
      <c r="J15" s="237">
        <f>References!$C$51*'Staff Calcs '!I15</f>
        <v>5.1208368455325628</v>
      </c>
      <c r="K15" s="237">
        <f>J15/References!$G$54</f>
        <v>5.2214808896811675</v>
      </c>
      <c r="L15" s="237">
        <f t="shared" si="2"/>
        <v>5.3858412845571073E-2</v>
      </c>
      <c r="M15" s="238">
        <f>'Rate Sheet'!C14</f>
        <v>17.739999999999998</v>
      </c>
      <c r="N15" s="237">
        <f t="shared" si="5"/>
        <v>17.793858412845569</v>
      </c>
      <c r="O15" s="237">
        <f t="shared" si="6"/>
        <v>1719.8626192075217</v>
      </c>
      <c r="P15" s="237">
        <f t="shared" si="3"/>
        <v>1725.0841000972027</v>
      </c>
      <c r="Q15" s="237">
        <f t="shared" si="8"/>
        <v>5.2214808896810609</v>
      </c>
      <c r="R15" s="303">
        <f t="shared" si="1"/>
        <v>-1.0658141036401503E-13</v>
      </c>
      <c r="S15" s="303"/>
      <c r="T15" s="351"/>
      <c r="U15" s="303"/>
    </row>
    <row r="16" spans="1:21" s="230" customFormat="1">
      <c r="A16" s="365"/>
      <c r="B16" s="231">
        <v>21</v>
      </c>
      <c r="C16" s="232" t="str">
        <f>'2180 (Reg.) - Price Out '!B23</f>
        <v>35 GL 1X WK W/ RECY 1</v>
      </c>
      <c r="D16" s="233">
        <f>'2180 (Reg.) - Price Out '!I23</f>
        <v>7.6311909746261657</v>
      </c>
      <c r="E16" s="234">
        <f>References!$B$7</f>
        <v>4.333333333333333</v>
      </c>
      <c r="F16" s="235">
        <f t="shared" si="4"/>
        <v>396.82193068056063</v>
      </c>
      <c r="G16" s="239">
        <f>References!$B$22</f>
        <v>37</v>
      </c>
      <c r="H16" s="239">
        <f t="shared" si="7"/>
        <v>14682.411435180744</v>
      </c>
      <c r="I16" s="236">
        <f t="shared" si="0"/>
        <v>12100.628153528894</v>
      </c>
      <c r="J16" s="237">
        <f>References!$C$51*'Staff Calcs '!I16</f>
        <v>5.2637732467851279</v>
      </c>
      <c r="K16" s="237">
        <f>J16/References!$G$54</f>
        <v>5.3672265383110744</v>
      </c>
      <c r="L16" s="237">
        <f t="shared" si="2"/>
        <v>5.8610625743709704E-2</v>
      </c>
      <c r="M16" s="238">
        <f>'Rate Sheet'!C29</f>
        <v>17.91</v>
      </c>
      <c r="N16" s="237">
        <f t="shared" si="5"/>
        <v>17.968610625743711</v>
      </c>
      <c r="O16" s="237">
        <f t="shared" si="6"/>
        <v>1640.0955642666554</v>
      </c>
      <c r="P16" s="237">
        <f t="shared" si="3"/>
        <v>1645.4627908049667</v>
      </c>
      <c r="Q16" s="237">
        <f t="shared" si="8"/>
        <v>5.3672265383113427</v>
      </c>
      <c r="R16" s="303">
        <f t="shared" si="1"/>
        <v>2.6822988274943782E-13</v>
      </c>
      <c r="S16" s="303"/>
      <c r="T16" s="351"/>
      <c r="U16" s="303"/>
    </row>
    <row r="17" spans="1:21" s="230" customFormat="1">
      <c r="A17" s="365"/>
      <c r="B17" s="231">
        <v>22</v>
      </c>
      <c r="C17" s="304" t="str">
        <f>'2180 (Reg.) - Price Out '!B24</f>
        <v>35 GL 1X WK W/RECY 2</v>
      </c>
      <c r="D17" s="233">
        <f>'2180 (Reg.) - Price Out '!I24</f>
        <v>1.3750190868834939</v>
      </c>
      <c r="E17" s="234">
        <f>References!$B$7</f>
        <v>4.333333333333333</v>
      </c>
      <c r="F17" s="235">
        <f t="shared" si="4"/>
        <v>71.500992517941683</v>
      </c>
      <c r="G17" s="239">
        <f>References!$B$22*2</f>
        <v>74</v>
      </c>
      <c r="H17" s="239">
        <f t="shared" si="7"/>
        <v>5291.0734463276849</v>
      </c>
      <c r="I17" s="236">
        <f t="shared" si="0"/>
        <v>4360.6809814367371</v>
      </c>
      <c r="J17" s="237">
        <f>References!$C$51*'Staff Calcs '!I17</f>
        <v>1.8968962269250016</v>
      </c>
      <c r="K17" s="237">
        <f>J17/References!$G$54</f>
        <v>1.9341774982028619</v>
      </c>
      <c r="L17" s="237">
        <f>(K17/F17*E17)</f>
        <v>0.1172212514874194</v>
      </c>
      <c r="M17" s="238">
        <f>M16*2</f>
        <v>35.82</v>
      </c>
      <c r="N17" s="237">
        <f>L17+M17</f>
        <v>35.937221251487422</v>
      </c>
      <c r="O17" s="237">
        <f>D17*M17*12</f>
        <v>591.03820430600103</v>
      </c>
      <c r="P17" s="237">
        <f t="shared" si="3"/>
        <v>592.97238180420391</v>
      </c>
      <c r="Q17" s="237">
        <f t="shared" si="8"/>
        <v>1.934177498202871</v>
      </c>
      <c r="R17" s="303">
        <f t="shared" si="1"/>
        <v>9.1038288019262836E-15</v>
      </c>
      <c r="S17" s="303"/>
      <c r="T17" s="351"/>
      <c r="U17" s="303"/>
    </row>
    <row r="18" spans="1:21" s="230" customFormat="1">
      <c r="A18" s="365"/>
      <c r="B18" s="231">
        <v>21</v>
      </c>
      <c r="C18" s="232" t="str">
        <f>'2180 (Reg.) - Price Out '!B25</f>
        <v>65 GL 1X MO NO RECY 1</v>
      </c>
      <c r="D18" s="233">
        <f>'2180 (Reg.) - Price Out '!I25</f>
        <v>41.842927360974009</v>
      </c>
      <c r="E18" s="234">
        <f>References!$B$9</f>
        <v>1</v>
      </c>
      <c r="F18" s="235">
        <f t="shared" si="4"/>
        <v>502.11512833168808</v>
      </c>
      <c r="G18" s="239">
        <f>References!$B$23</f>
        <v>47</v>
      </c>
      <c r="H18" s="239">
        <f t="shared" si="7"/>
        <v>23599.411031589341</v>
      </c>
      <c r="I18" s="236">
        <f t="shared" si="0"/>
        <v>19449.645502461357</v>
      </c>
      <c r="J18" s="237">
        <f>References!$C$51*'Staff Calcs '!I18</f>
        <v>8.4605957935707838</v>
      </c>
      <c r="K18" s="237">
        <f>J18/References!$G$54</f>
        <v>8.6268788840610604</v>
      </c>
      <c r="L18" s="237">
        <f t="shared" si="2"/>
        <v>1.7181077400962717E-2</v>
      </c>
      <c r="M18" s="238">
        <f>'Rate Sheet'!C40</f>
        <v>11.03</v>
      </c>
      <c r="N18" s="237">
        <f t="shared" ref="N18:N31" si="9">L18+M18</f>
        <v>11.047181077400962</v>
      </c>
      <c r="O18" s="237">
        <f t="shared" si="6"/>
        <v>5538.3298654985192</v>
      </c>
      <c r="P18" s="237">
        <f t="shared" si="3"/>
        <v>5546.9567443825808</v>
      </c>
      <c r="Q18" s="237">
        <f t="shared" ref="Q18:Q31" si="10">P18-O18</f>
        <v>8.6268788840616253</v>
      </c>
      <c r="R18" s="303">
        <f t="shared" si="1"/>
        <v>5.6488147492927965E-13</v>
      </c>
      <c r="S18" s="303"/>
      <c r="T18" s="351"/>
      <c r="U18" s="303"/>
    </row>
    <row r="19" spans="1:21" s="230" customFormat="1">
      <c r="A19" s="365"/>
      <c r="B19" s="231">
        <v>21</v>
      </c>
      <c r="C19" s="232" t="str">
        <f>'2180 (Reg.) - Price Out '!B26</f>
        <v>65 GL 1X MO W/RECY 1</v>
      </c>
      <c r="D19" s="233">
        <f>'2180 (Reg.) - Price Out '!I26</f>
        <v>1299.3474641091107</v>
      </c>
      <c r="E19" s="234">
        <f>References!$B$9</f>
        <v>1</v>
      </c>
      <c r="F19" s="235">
        <f t="shared" si="4"/>
        <v>15592.169569309328</v>
      </c>
      <c r="G19" s="239">
        <f>References!$B$23</f>
        <v>47</v>
      </c>
      <c r="H19" s="239">
        <f t="shared" si="7"/>
        <v>732831.96975753841</v>
      </c>
      <c r="I19" s="236">
        <f t="shared" si="0"/>
        <v>603969.39591312723</v>
      </c>
      <c r="J19" s="237">
        <f>References!$C$51*'Staff Calcs '!I19</f>
        <v>262.72668722221329</v>
      </c>
      <c r="K19" s="237">
        <f>J19/References!$G$54</f>
        <v>267.89027221923914</v>
      </c>
      <c r="L19" s="237">
        <f t="shared" si="2"/>
        <v>1.7181077400962721E-2</v>
      </c>
      <c r="M19" s="238">
        <f>'Rate Sheet'!C39</f>
        <v>9.0299999999999994</v>
      </c>
      <c r="N19" s="237">
        <f t="shared" si="9"/>
        <v>9.0471810774009622</v>
      </c>
      <c r="O19" s="237">
        <f t="shared" si="6"/>
        <v>140797.29121086322</v>
      </c>
      <c r="P19" s="237">
        <f t="shared" si="3"/>
        <v>141065.18148308247</v>
      </c>
      <c r="Q19" s="237">
        <f t="shared" si="10"/>
        <v>267.89027221925789</v>
      </c>
      <c r="R19" s="303">
        <f t="shared" si="1"/>
        <v>1.8758328224066645E-11</v>
      </c>
      <c r="S19" s="303"/>
      <c r="T19" s="351"/>
      <c r="U19" s="303"/>
    </row>
    <row r="20" spans="1:21" s="230" customFormat="1">
      <c r="A20" s="365"/>
      <c r="B20" s="231">
        <v>21</v>
      </c>
      <c r="C20" s="304" t="str">
        <f>'2180 (Reg.) - Price Out '!B27</f>
        <v>65 GL 1X WK NO RECY 1</v>
      </c>
      <c r="D20" s="233">
        <f>'2180 (Reg.) - Price Out '!I27</f>
        <v>766.02477699675262</v>
      </c>
      <c r="E20" s="234">
        <f>References!$B$7</f>
        <v>4.333333333333333</v>
      </c>
      <c r="F20" s="235">
        <f t="shared" si="4"/>
        <v>39833.288403831131</v>
      </c>
      <c r="G20" s="239">
        <f>References!$B$23</f>
        <v>47</v>
      </c>
      <c r="H20" s="239">
        <f t="shared" si="7"/>
        <v>1872164.5549800631</v>
      </c>
      <c r="I20" s="236">
        <f t="shared" si="0"/>
        <v>1542959.562333758</v>
      </c>
      <c r="J20" s="237">
        <f>References!$C$51*'Staff Calcs '!I20</f>
        <v>671.18740961519222</v>
      </c>
      <c r="K20" s="237">
        <f>J20/References!$G$54</f>
        <v>684.3788112010933</v>
      </c>
      <c r="L20" s="237">
        <f t="shared" si="2"/>
        <v>7.4451335404171773E-2</v>
      </c>
      <c r="M20" s="238">
        <f>'Rate Sheet'!C36</f>
        <v>26.94</v>
      </c>
      <c r="N20" s="237">
        <f t="shared" si="9"/>
        <v>27.014451335404171</v>
      </c>
      <c r="O20" s="237">
        <f t="shared" si="6"/>
        <v>247640.4899075102</v>
      </c>
      <c r="P20" s="237">
        <f t="shared" si="3"/>
        <v>248324.86871871128</v>
      </c>
      <c r="Q20" s="237">
        <f t="shared" si="10"/>
        <v>684.37881120108068</v>
      </c>
      <c r="R20" s="303">
        <f t="shared" si="1"/>
        <v>-1.2619238987099379E-11</v>
      </c>
      <c r="S20" s="303"/>
      <c r="T20" s="351"/>
      <c r="U20" s="303"/>
    </row>
    <row r="21" spans="1:21" s="230" customFormat="1">
      <c r="A21" s="365"/>
      <c r="B21" s="231">
        <v>21</v>
      </c>
      <c r="C21" s="304" t="str">
        <f>'2180 (Reg.) - Price Out '!B28</f>
        <v>65 GL 1X WK W/RECY 1</v>
      </c>
      <c r="D21" s="233">
        <f>'2180 (Reg.) - Price Out '!I28</f>
        <v>20918.699010575107</v>
      </c>
      <c r="E21" s="234">
        <f>References!$B$7</f>
        <v>4.333333333333333</v>
      </c>
      <c r="F21" s="235">
        <f t="shared" si="4"/>
        <v>1087772.3485499055</v>
      </c>
      <c r="G21" s="239">
        <f>References!$B$23</f>
        <v>47</v>
      </c>
      <c r="H21" s="239">
        <f t="shared" si="7"/>
        <v>51125300.381845556</v>
      </c>
      <c r="I21" s="236">
        <f t="shared" si="0"/>
        <v>42135329.873390526</v>
      </c>
      <c r="J21" s="237">
        <f>References!$C$51*'Staff Calcs '!I21</f>
        <v>18328.868494925082</v>
      </c>
      <c r="K21" s="237">
        <f>J21/References!$G$54</f>
        <v>18689.100915062922</v>
      </c>
      <c r="L21" s="237">
        <f t="shared" si="2"/>
        <v>7.4451335404171773E-2</v>
      </c>
      <c r="M21" s="238">
        <f>'Rate Sheet'!C35</f>
        <v>24.94</v>
      </c>
      <c r="N21" s="305">
        <f>(L21+M21)</f>
        <v>25.014451335404171</v>
      </c>
      <c r="O21" s="237">
        <f t="shared" si="6"/>
        <v>6260548.2398849176</v>
      </c>
      <c r="P21" s="237">
        <f>D21*N21*12</f>
        <v>6279237.3407999808</v>
      </c>
      <c r="Q21" s="237">
        <f>P21-O21</f>
        <v>18689.100915063173</v>
      </c>
      <c r="R21" s="303">
        <f>Q21-K21</f>
        <v>2.5102053768932819E-10</v>
      </c>
      <c r="S21" s="303"/>
      <c r="T21" s="351"/>
      <c r="U21" s="303"/>
    </row>
    <row r="22" spans="1:21" s="230" customFormat="1">
      <c r="A22" s="365"/>
      <c r="B22" s="231">
        <v>21</v>
      </c>
      <c r="C22" s="232" t="str">
        <f>'2180 (Reg.) - Price Out '!B29</f>
        <v>65 GL EOW 1</v>
      </c>
      <c r="D22" s="233">
        <f>'2180 (Reg.) - Price Out '!I29</f>
        <v>4063.4742282667389</v>
      </c>
      <c r="E22" s="234">
        <f>References!$B$8</f>
        <v>2.1666666666666665</v>
      </c>
      <c r="F22" s="235">
        <f t="shared" si="4"/>
        <v>105650.3299349352</v>
      </c>
      <c r="G22" s="239">
        <f>References!$B$23</f>
        <v>47</v>
      </c>
      <c r="H22" s="239">
        <f t="shared" si="7"/>
        <v>4965565.5069419546</v>
      </c>
      <c r="I22" s="236">
        <f t="shared" si="0"/>
        <v>4092410.9800873534</v>
      </c>
      <c r="J22" s="237">
        <f>References!$C$51*'Staff Calcs '!I22</f>
        <v>1780.1987763380184</v>
      </c>
      <c r="K22" s="237">
        <f>J22/References!$G$54</f>
        <v>1815.1864960493701</v>
      </c>
      <c r="L22" s="237">
        <f t="shared" si="2"/>
        <v>3.7225667702085886E-2</v>
      </c>
      <c r="M22" s="238">
        <f>'Rate Sheet'!C37</f>
        <v>15.74</v>
      </c>
      <c r="N22" s="237">
        <f t="shared" si="9"/>
        <v>15.777225667702085</v>
      </c>
      <c r="O22" s="237">
        <f t="shared" si="6"/>
        <v>767509.01223502168</v>
      </c>
      <c r="P22" s="237">
        <f t="shared" si="3"/>
        <v>769324.19873107097</v>
      </c>
      <c r="Q22" s="237">
        <f t="shared" si="10"/>
        <v>1815.1864960492821</v>
      </c>
      <c r="R22" s="303">
        <f t="shared" ref="R22:R32" si="11">Q22-K22</f>
        <v>-8.7993612396530807E-11</v>
      </c>
      <c r="S22" s="303"/>
      <c r="T22" s="351"/>
      <c r="U22" s="303"/>
    </row>
    <row r="23" spans="1:21" s="230" customFormat="1">
      <c r="A23" s="365"/>
      <c r="B23" s="231">
        <v>21</v>
      </c>
      <c r="C23" s="232" t="str">
        <f>'2180 (Reg.) - Price Out '!B30</f>
        <v>65 GL EOW NO RECY 1</v>
      </c>
      <c r="D23" s="233">
        <f>'2180 (Reg.) - Price Out '!I30</f>
        <v>299.28684760619552</v>
      </c>
      <c r="E23" s="234">
        <f>References!$B$8</f>
        <v>2.1666666666666665</v>
      </c>
      <c r="F23" s="235">
        <f t="shared" si="4"/>
        <v>7781.4580377610837</v>
      </c>
      <c r="G23" s="239">
        <f>References!$B$23</f>
        <v>47</v>
      </c>
      <c r="H23" s="239">
        <f t="shared" si="7"/>
        <v>365728.52777477092</v>
      </c>
      <c r="I23" s="236">
        <f t="shared" si="0"/>
        <v>301418.12462331314</v>
      </c>
      <c r="J23" s="237">
        <f>References!$C$51*'Staff Calcs '!I23</f>
        <v>131.11688421114266</v>
      </c>
      <c r="K23" s="237">
        <f>J23/References!$G$54</f>
        <v>133.69383283911665</v>
      </c>
      <c r="L23" s="237">
        <f t="shared" si="2"/>
        <v>3.7225667702085886E-2</v>
      </c>
      <c r="M23" s="238">
        <f>'Rate Sheet'!C38</f>
        <v>17.739999999999998</v>
      </c>
      <c r="N23" s="237">
        <f t="shared" si="9"/>
        <v>17.777225667702083</v>
      </c>
      <c r="O23" s="237">
        <f t="shared" si="6"/>
        <v>63712.184118406905</v>
      </c>
      <c r="P23" s="237">
        <f t="shared" si="3"/>
        <v>63845.877951246017</v>
      </c>
      <c r="Q23" s="237">
        <f t="shared" si="10"/>
        <v>133.69383283911156</v>
      </c>
      <c r="R23" s="303">
        <f t="shared" si="11"/>
        <v>-5.0874859880423173E-12</v>
      </c>
      <c r="S23" s="303"/>
      <c r="T23" s="351"/>
      <c r="U23" s="303"/>
    </row>
    <row r="24" spans="1:21" s="230" customFormat="1">
      <c r="A24" s="365"/>
      <c r="B24" s="231">
        <v>21</v>
      </c>
      <c r="C24" s="232" t="str">
        <f>'2180 (Reg.) - Price Out '!B31</f>
        <v>65 GL EOW W/RECY 1</v>
      </c>
      <c r="D24" s="233">
        <f>'2180 (Reg.) - Price Out '!I31</f>
        <v>4899.1577835082071</v>
      </c>
      <c r="E24" s="234">
        <f>References!$B$8</f>
        <v>2.1666666666666665</v>
      </c>
      <c r="F24" s="235">
        <f t="shared" si="4"/>
        <v>127378.10237121338</v>
      </c>
      <c r="G24" s="239">
        <f>References!$B$23</f>
        <v>47</v>
      </c>
      <c r="H24" s="239">
        <f t="shared" si="7"/>
        <v>5986770.811447029</v>
      </c>
      <c r="I24" s="236">
        <f t="shared" si="0"/>
        <v>4934045.5925473897</v>
      </c>
      <c r="J24" s="237">
        <f>References!$C$51*'Staff Calcs '!I24</f>
        <v>2146.3098327581383</v>
      </c>
      <c r="K24" s="237">
        <f>J24/References!$G$54</f>
        <v>2188.4930360275698</v>
      </c>
      <c r="L24" s="237">
        <f t="shared" si="2"/>
        <v>3.7225667702085886E-2</v>
      </c>
      <c r="M24" s="238">
        <f>M22</f>
        <v>15.74</v>
      </c>
      <c r="N24" s="237">
        <f t="shared" si="9"/>
        <v>15.777225667702085</v>
      </c>
      <c r="O24" s="237">
        <f t="shared" si="6"/>
        <v>925352.92214903026</v>
      </c>
      <c r="P24" s="237">
        <f t="shared" si="3"/>
        <v>927541.41518505756</v>
      </c>
      <c r="Q24" s="237">
        <f t="shared" si="10"/>
        <v>2188.4930360272992</v>
      </c>
      <c r="R24" s="303">
        <f t="shared" si="11"/>
        <v>-2.7057467377744615E-10</v>
      </c>
      <c r="S24" s="303"/>
      <c r="T24" s="351"/>
      <c r="U24" s="303"/>
    </row>
    <row r="25" spans="1:21" s="230" customFormat="1">
      <c r="A25" s="365"/>
      <c r="B25" s="231">
        <v>21</v>
      </c>
      <c r="C25" s="232" t="str">
        <f>'2180 (Reg.) - Price Out '!B32</f>
        <v>95 GL 1X MO NO RECY 1</v>
      </c>
      <c r="D25" s="233">
        <f>'2180 (Reg.) - Price Out '!I32</f>
        <v>194.1849505189476</v>
      </c>
      <c r="E25" s="234">
        <f>References!$B$9</f>
        <v>1</v>
      </c>
      <c r="F25" s="235">
        <f t="shared" si="4"/>
        <v>2330.2194062273711</v>
      </c>
      <c r="G25" s="239">
        <f>References!$B$24</f>
        <v>68</v>
      </c>
      <c r="H25" s="239">
        <f t="shared" si="7"/>
        <v>158454.91962346123</v>
      </c>
      <c r="I25" s="236">
        <f t="shared" si="0"/>
        <v>130591.90378404006</v>
      </c>
      <c r="J25" s="237">
        <f>References!$C$51*'Staff Calcs '!I25</f>
        <v>56.807478146058052</v>
      </c>
      <c r="K25" s="237">
        <f>J25/References!$G$54</f>
        <v>57.923962523702421</v>
      </c>
      <c r="L25" s="237">
        <f t="shared" si="2"/>
        <v>2.4857729005648189E-2</v>
      </c>
      <c r="M25" s="238">
        <f>'Rate Sheet'!C46</f>
        <v>15.37</v>
      </c>
      <c r="N25" s="237">
        <f t="shared" si="9"/>
        <v>15.394857729005647</v>
      </c>
      <c r="O25" s="237">
        <f t="shared" si="6"/>
        <v>35815.472273714695</v>
      </c>
      <c r="P25" s="237">
        <f t="shared" si="3"/>
        <v>35873.39623623839</v>
      </c>
      <c r="Q25" s="237">
        <f t="shared" si="10"/>
        <v>57.923962523695081</v>
      </c>
      <c r="R25" s="303">
        <f t="shared" si="11"/>
        <v>-7.3399064604018349E-12</v>
      </c>
      <c r="S25" s="303"/>
      <c r="T25" s="351"/>
      <c r="U25" s="303"/>
    </row>
    <row r="26" spans="1:21" s="230" customFormat="1">
      <c r="A26" s="365"/>
      <c r="B26" s="231">
        <v>21</v>
      </c>
      <c r="C26" s="232" t="str">
        <f>'2180 (Reg.) - Price Out '!B33</f>
        <v>95 GL 1X MO W/RECY 1</v>
      </c>
      <c r="D26" s="233">
        <f>'2180 (Reg.) - Price Out '!I33</f>
        <v>97.227892909549965</v>
      </c>
      <c r="E26" s="234">
        <f>References!$B$9</f>
        <v>1</v>
      </c>
      <c r="F26" s="235">
        <f t="shared" si="4"/>
        <v>1166.7347149145996</v>
      </c>
      <c r="G26" s="239">
        <f>References!$B$24</f>
        <v>68</v>
      </c>
      <c r="H26" s="239">
        <f t="shared" si="7"/>
        <v>79337.96061419278</v>
      </c>
      <c r="I26" s="236">
        <f t="shared" si="0"/>
        <v>65387.022022234283</v>
      </c>
      <c r="J26" s="237">
        <f>References!$C$51*'Staff Calcs '!I26</f>
        <v>28.443354579672228</v>
      </c>
      <c r="K26" s="237">
        <f>J26/References!$G$54</f>
        <v>29.002375364829312</v>
      </c>
      <c r="L26" s="237">
        <f t="shared" si="2"/>
        <v>2.4857729005648189E-2</v>
      </c>
      <c r="M26" s="238">
        <f>'Rate Sheet'!C45</f>
        <v>12.37</v>
      </c>
      <c r="N26" s="237">
        <f t="shared" si="9"/>
        <v>12.394857729005647</v>
      </c>
      <c r="O26" s="237">
        <f t="shared" si="6"/>
        <v>14432.508423493597</v>
      </c>
      <c r="P26" s="237">
        <f t="shared" si="3"/>
        <v>14461.510798858424</v>
      </c>
      <c r="Q26" s="237">
        <f t="shared" si="10"/>
        <v>29.002375364827458</v>
      </c>
      <c r="R26" s="303">
        <f t="shared" si="11"/>
        <v>-1.8545165403338615E-12</v>
      </c>
      <c r="S26" s="303"/>
      <c r="T26" s="351"/>
      <c r="U26" s="303"/>
    </row>
    <row r="27" spans="1:21" s="230" customFormat="1">
      <c r="A27" s="365"/>
      <c r="B27" s="231">
        <v>21</v>
      </c>
      <c r="C27" s="232" t="str">
        <f>'2180 (Reg.) - Price Out '!B34</f>
        <v>95 GL 1X WK NO RECY 1</v>
      </c>
      <c r="D27" s="233">
        <f>'2180 (Reg.) - Price Out '!I34</f>
        <v>82.960024211841855</v>
      </c>
      <c r="E27" s="234">
        <f>References!$B$7</f>
        <v>4.333333333333333</v>
      </c>
      <c r="F27" s="235">
        <f t="shared" si="4"/>
        <v>4313.9212590157758</v>
      </c>
      <c r="G27" s="239">
        <f>References!$B$24</f>
        <v>68</v>
      </c>
      <c r="H27" s="239">
        <f t="shared" si="7"/>
        <v>293346.64561307273</v>
      </c>
      <c r="I27" s="236">
        <f t="shared" si="0"/>
        <v>241764.01092693626</v>
      </c>
      <c r="J27" s="237">
        <f>References!$C$51*'Staff Calcs '!I27</f>
        <v>105.16734475321844</v>
      </c>
      <c r="K27" s="237">
        <f>J27/References!$G$54</f>
        <v>107.2342856083188</v>
      </c>
      <c r="L27" s="237">
        <f t="shared" si="2"/>
        <v>0.10771682569114215</v>
      </c>
      <c r="M27" s="238">
        <f>'Rate Sheet'!C42</f>
        <v>35.840000000000003</v>
      </c>
      <c r="N27" s="237">
        <f t="shared" si="9"/>
        <v>35.947716825691145</v>
      </c>
      <c r="O27" s="237">
        <f t="shared" si="6"/>
        <v>35679.447213028951</v>
      </c>
      <c r="P27" s="237">
        <f t="shared" si="3"/>
        <v>35786.681498637263</v>
      </c>
      <c r="Q27" s="237">
        <f t="shared" si="10"/>
        <v>107.23428560831235</v>
      </c>
      <c r="R27" s="303">
        <f t="shared" si="11"/>
        <v>-6.4517280407017097E-12</v>
      </c>
      <c r="S27" s="303"/>
      <c r="T27" s="351"/>
      <c r="U27" s="303"/>
    </row>
    <row r="28" spans="1:21" s="230" customFormat="1">
      <c r="A28" s="365"/>
      <c r="B28" s="231">
        <v>21</v>
      </c>
      <c r="C28" s="304" t="str">
        <f>'2180 (Reg.) - Price Out '!B35</f>
        <v>95 GL 1X WK W/RECY 1</v>
      </c>
      <c r="D28" s="233">
        <f>'2180 (Reg.) - Price Out '!I35</f>
        <v>4943.176862989746</v>
      </c>
      <c r="E28" s="234">
        <f>References!$B$7</f>
        <v>4.333333333333333</v>
      </c>
      <c r="F28" s="235">
        <f t="shared" si="4"/>
        <v>257045.19687546679</v>
      </c>
      <c r="G28" s="239">
        <f>References!$B$24</f>
        <v>68</v>
      </c>
      <c r="H28" s="239">
        <f t="shared" si="7"/>
        <v>17479073.387531742</v>
      </c>
      <c r="I28" s="236">
        <f t="shared" si="0"/>
        <v>14405519.72436676</v>
      </c>
      <c r="J28" s="237">
        <f>References!$C$51*'Staff Calcs '!I28</f>
        <v>6266.4010800996102</v>
      </c>
      <c r="K28" s="237">
        <f>J28/References!$G$54</f>
        <v>6389.5598461338404</v>
      </c>
      <c r="L28" s="237">
        <f t="shared" si="2"/>
        <v>0.10771682569114215</v>
      </c>
      <c r="M28" s="238">
        <f>'Rate Sheet'!C41</f>
        <v>32.840000000000003</v>
      </c>
      <c r="N28" s="305">
        <f>L28+M28</f>
        <v>32.947716825691145</v>
      </c>
      <c r="O28" s="237">
        <f t="shared" si="6"/>
        <v>1948007.1381669994</v>
      </c>
      <c r="P28" s="237">
        <f t="shared" si="3"/>
        <v>1954396.6980131329</v>
      </c>
      <c r="Q28" s="237">
        <f t="shared" si="10"/>
        <v>6389.5598461334594</v>
      </c>
      <c r="R28" s="303">
        <f t="shared" si="11"/>
        <v>-3.8107828004285693E-10</v>
      </c>
      <c r="S28" s="303"/>
      <c r="T28" s="351"/>
      <c r="U28" s="303"/>
    </row>
    <row r="29" spans="1:21" s="230" customFormat="1">
      <c r="A29" s="365"/>
      <c r="B29" s="231">
        <v>21</v>
      </c>
      <c r="C29" s="232" t="str">
        <f>'2180 (Reg.) - Price Out '!B36</f>
        <v>95 GL EOW 1</v>
      </c>
      <c r="D29" s="233">
        <f>'2180 (Reg.) - Price Out '!I36</f>
        <v>273.15742320819112</v>
      </c>
      <c r="E29" s="234">
        <f>References!$B$8</f>
        <v>2.1666666666666665</v>
      </c>
      <c r="F29" s="235">
        <f t="shared" si="4"/>
        <v>7102.0930034129688</v>
      </c>
      <c r="G29" s="239">
        <f>References!$B$24</f>
        <v>68</v>
      </c>
      <c r="H29" s="239">
        <f t="shared" si="7"/>
        <v>482942.32423208188</v>
      </c>
      <c r="I29" s="236">
        <f t="shared" si="0"/>
        <v>398020.82314154069</v>
      </c>
      <c r="J29" s="237">
        <f>References!$C$51*'Staff Calcs '!I29</f>
        <v>173.13905806657212</v>
      </c>
      <c r="K29" s="237">
        <f>J29/References!$G$54</f>
        <v>176.5419032517496</v>
      </c>
      <c r="L29" s="237">
        <f t="shared" si="2"/>
        <v>5.3858412845571066E-2</v>
      </c>
      <c r="M29" s="238">
        <f>'Rate Sheet'!C43</f>
        <v>20.57</v>
      </c>
      <c r="N29" s="237">
        <f t="shared" si="9"/>
        <v>20.623858412845571</v>
      </c>
      <c r="O29" s="237">
        <f t="shared" si="6"/>
        <v>67426.178344709886</v>
      </c>
      <c r="P29" s="237">
        <f t="shared" si="3"/>
        <v>67602.720247961654</v>
      </c>
      <c r="Q29" s="237">
        <f t="shared" si="10"/>
        <v>176.54190325176751</v>
      </c>
      <c r="R29" s="303">
        <f t="shared" si="11"/>
        <v>1.7905676941154525E-11</v>
      </c>
      <c r="S29" s="303"/>
      <c r="T29" s="351"/>
      <c r="U29" s="303"/>
    </row>
    <row r="30" spans="1:21" s="230" customFormat="1">
      <c r="A30" s="365"/>
      <c r="B30" s="231">
        <v>21</v>
      </c>
      <c r="C30" s="232" t="str">
        <f>'2180 (Reg.) - Price Out '!B37</f>
        <v>95 GL EOW NO RECY 1</v>
      </c>
      <c r="D30" s="233">
        <f>'2180 (Reg.) - Price Out '!I37</f>
        <v>17.125</v>
      </c>
      <c r="E30" s="234">
        <f>References!$B$8</f>
        <v>2.1666666666666665</v>
      </c>
      <c r="F30" s="235">
        <f t="shared" si="4"/>
        <v>445.25</v>
      </c>
      <c r="G30" s="239">
        <f>References!$B$24</f>
        <v>68</v>
      </c>
      <c r="H30" s="239">
        <f t="shared" si="7"/>
        <v>30277</v>
      </c>
      <c r="I30" s="236">
        <f t="shared" si="0"/>
        <v>24953.03446724889</v>
      </c>
      <c r="J30" s="237">
        <f>References!$C$51*'Staff Calcs '!I30</f>
        <v>10.854569993253387</v>
      </c>
      <c r="K30" s="237">
        <f>J30/References!$G$54</f>
        <v>11.067903839764854</v>
      </c>
      <c r="L30" s="237">
        <f t="shared" si="2"/>
        <v>5.3858412845571066E-2</v>
      </c>
      <c r="M30" s="238">
        <f>'Rate Sheet'!C44</f>
        <v>23.57</v>
      </c>
      <c r="N30" s="237">
        <f t="shared" si="9"/>
        <v>23.623858412845571</v>
      </c>
      <c r="O30" s="237">
        <f t="shared" si="6"/>
        <v>4843.6350000000002</v>
      </c>
      <c r="P30" s="237">
        <f t="shared" si="3"/>
        <v>4854.702903839765</v>
      </c>
      <c r="Q30" s="237">
        <f t="shared" si="10"/>
        <v>11.067903839764767</v>
      </c>
      <c r="R30" s="303">
        <f t="shared" si="11"/>
        <v>-8.7041485130612273E-14</v>
      </c>
      <c r="S30" s="303"/>
      <c r="T30" s="351"/>
      <c r="U30" s="303"/>
    </row>
    <row r="31" spans="1:21" s="230" customFormat="1">
      <c r="A31" s="365"/>
      <c r="B31" s="231">
        <v>21</v>
      </c>
      <c r="C31" s="232" t="str">
        <f>'2180 (Reg.) - Price Out '!B38</f>
        <v>95 GL EOW W/RECY 1</v>
      </c>
      <c r="D31" s="233">
        <f>'2180 (Reg.) - Price Out '!I38</f>
        <v>387.80216532483155</v>
      </c>
      <c r="E31" s="234">
        <f>References!$B$8</f>
        <v>2.1666666666666665</v>
      </c>
      <c r="F31" s="235">
        <f t="shared" si="4"/>
        <v>10082.856298445618</v>
      </c>
      <c r="G31" s="239">
        <f>References!$B$24</f>
        <v>68</v>
      </c>
      <c r="H31" s="239">
        <f t="shared" si="7"/>
        <v>685634.22829430201</v>
      </c>
      <c r="I31" s="236">
        <f t="shared" si="0"/>
        <v>565070.99549338815</v>
      </c>
      <c r="J31" s="237">
        <f>References!$C$51*'Staff Calcs '!I31</f>
        <v>245.80588303962656</v>
      </c>
      <c r="K31" s="237">
        <f>J31/References!$G$54</f>
        <v>250.63690946965417</v>
      </c>
      <c r="L31" s="237">
        <f t="shared" si="2"/>
        <v>5.3858412845571073E-2</v>
      </c>
      <c r="M31" s="238">
        <f>M29</f>
        <v>20.57</v>
      </c>
      <c r="N31" s="237">
        <f t="shared" si="9"/>
        <v>20.623858412845571</v>
      </c>
      <c r="O31" s="237">
        <f t="shared" si="6"/>
        <v>95725.086488781424</v>
      </c>
      <c r="P31" s="237">
        <f t="shared" si="3"/>
        <v>95975.723398251081</v>
      </c>
      <c r="Q31" s="237">
        <f t="shared" si="10"/>
        <v>250.63690946965653</v>
      </c>
      <c r="R31" s="303">
        <f t="shared" si="11"/>
        <v>2.3590018827235326E-12</v>
      </c>
      <c r="S31" s="303"/>
      <c r="T31" s="351"/>
      <c r="U31" s="303"/>
    </row>
    <row r="32" spans="1:21" s="230" customFormat="1">
      <c r="A32" s="365"/>
      <c r="B32" s="299">
        <v>26</v>
      </c>
      <c r="C32" s="232" t="str">
        <f>'2180 (Reg.) - Price Out '!B39</f>
        <v>BULKY ITEM PICK UP - RES</v>
      </c>
      <c r="D32" s="233">
        <f>'2180 (Reg.) - Price Out '!I39</f>
        <v>8.6666666666666661</v>
      </c>
      <c r="E32" s="234">
        <v>1</v>
      </c>
      <c r="F32" s="235">
        <f>'2180 (Reg.) - Price Out '!K39</f>
        <v>104</v>
      </c>
      <c r="G32" s="239">
        <f>'2180 (Reg.) - Price Out '!L39</f>
        <v>125</v>
      </c>
      <c r="H32" s="239">
        <f t="shared" ref="H32:H64" si="12">F32*G32</f>
        <v>13000</v>
      </c>
      <c r="I32" s="236">
        <f t="shared" si="0"/>
        <v>10714.055159832069</v>
      </c>
      <c r="J32" s="237">
        <f>References!$C$51*'Staff Calcs '!I32</f>
        <v>4.6606139945270018</v>
      </c>
      <c r="K32" s="237">
        <f>J32/References!$G$54</f>
        <v>4.752212898138624</v>
      </c>
      <c r="L32" s="237">
        <f t="shared" si="2"/>
        <v>4.5694354789794459E-2</v>
      </c>
      <c r="M32" s="238">
        <f>'Rate Sheet'!C99</f>
        <v>31.02</v>
      </c>
      <c r="N32" s="237">
        <f t="shared" ref="N32:N64" si="13">L32+M32</f>
        <v>31.065694354789795</v>
      </c>
      <c r="O32" s="237">
        <f>F32*M32</f>
        <v>3226.08</v>
      </c>
      <c r="P32" s="237">
        <f>F32*N32</f>
        <v>3230.8322128981386</v>
      </c>
      <c r="Q32" s="237">
        <f t="shared" ref="Q32:Q64" si="14">P32-O32</f>
        <v>4.7522128981386231</v>
      </c>
      <c r="R32" s="303">
        <f t="shared" si="11"/>
        <v>0</v>
      </c>
      <c r="S32" s="303"/>
      <c r="T32" s="351"/>
      <c r="U32" s="303"/>
    </row>
    <row r="33" spans="1:21" s="230" customFormat="1">
      <c r="A33" s="365"/>
      <c r="B33" s="231">
        <v>22</v>
      </c>
      <c r="C33" s="232" t="str">
        <f>'2180 (Reg.) - Price Out '!B40</f>
        <v>EXTRA PICK UP 96 GW - RES</v>
      </c>
      <c r="D33" s="233">
        <f>'2180 (Reg.) - Price Out '!I40</f>
        <v>37.666666666666664</v>
      </c>
      <c r="E33" s="234"/>
      <c r="F33" s="235">
        <f>'2180 (Reg.) - Price Out '!K40</f>
        <v>0</v>
      </c>
      <c r="G33" s="239">
        <f>'2180 (Reg.) - Price Out '!L40</f>
        <v>0</v>
      </c>
      <c r="H33" s="239">
        <f t="shared" si="12"/>
        <v>0</v>
      </c>
      <c r="I33" s="236">
        <f t="shared" si="0"/>
        <v>0</v>
      </c>
      <c r="J33" s="237">
        <f>References!$C$51*'Staff Calcs '!I33</f>
        <v>0</v>
      </c>
      <c r="K33" s="237">
        <f>J33/References!$G$54</f>
        <v>0</v>
      </c>
      <c r="L33" s="237"/>
      <c r="M33" s="238"/>
      <c r="N33" s="237">
        <f t="shared" si="13"/>
        <v>0</v>
      </c>
      <c r="O33" s="237">
        <f t="shared" ref="O33:O64" si="15">F33*M33</f>
        <v>0</v>
      </c>
      <c r="P33" s="237">
        <f t="shared" ref="P33:P42" si="16">F33*N33</f>
        <v>0</v>
      </c>
      <c r="Q33" s="237">
        <f t="shared" si="14"/>
        <v>0</v>
      </c>
      <c r="R33" s="303"/>
      <c r="S33" s="303"/>
      <c r="T33" s="340"/>
      <c r="U33" s="303"/>
    </row>
    <row r="34" spans="1:21" s="230" customFormat="1">
      <c r="A34" s="365"/>
      <c r="B34" s="231">
        <v>22</v>
      </c>
      <c r="C34" s="232" t="str">
        <f>'2180 (Reg.) - Price Out '!B41</f>
        <v>EXTRA CAN, BAG, BOX - RES</v>
      </c>
      <c r="D34" s="233">
        <f>'2180 (Reg.) - Price Out '!I41</f>
        <v>2322.547729225711</v>
      </c>
      <c r="E34" s="234">
        <v>1</v>
      </c>
      <c r="F34" s="235">
        <f>'2180 (Reg.) - Price Out '!K41</f>
        <v>27870.572750708532</v>
      </c>
      <c r="G34" s="239">
        <f>'2180 (Reg.) - Price Out '!L41</f>
        <v>34</v>
      </c>
      <c r="H34" s="239">
        <f t="shared" si="12"/>
        <v>947599.47352409014</v>
      </c>
      <c r="I34" s="236">
        <f t="shared" si="0"/>
        <v>780971.77144345618</v>
      </c>
      <c r="J34" s="237">
        <f>References!$C$51*'Staff Calcs '!I34</f>
        <v>339.72272057790718</v>
      </c>
      <c r="K34" s="237">
        <f>J34/References!$G$54</f>
        <v>346.39957233465771</v>
      </c>
      <c r="L34" s="237">
        <f>(K34/F34)</f>
        <v>1.2428864502824093E-2</v>
      </c>
      <c r="M34" s="238">
        <f>'Rate Sheet'!C49</f>
        <v>4.1100000000000003</v>
      </c>
      <c r="N34" s="237">
        <f>L34+M34</f>
        <v>4.1224288645028242</v>
      </c>
      <c r="O34" s="237">
        <f t="shared" si="15"/>
        <v>114548.05400541208</v>
      </c>
      <c r="P34" s="237">
        <f t="shared" si="16"/>
        <v>114894.45357774672</v>
      </c>
      <c r="Q34" s="237">
        <f t="shared" si="14"/>
        <v>346.3995723346452</v>
      </c>
      <c r="R34" s="303">
        <f t="shared" ref="R34:R42" si="17">Q34-K34</f>
        <v>-1.2505552149377763E-11</v>
      </c>
      <c r="S34" s="303"/>
      <c r="T34" s="351"/>
      <c r="U34" s="303"/>
    </row>
    <row r="35" spans="1:21" s="230" customFormat="1">
      <c r="A35" s="365"/>
      <c r="B35" s="231">
        <v>26</v>
      </c>
      <c r="C35" s="232" t="str">
        <f>'2180 (Reg.) - Price Out '!B42</f>
        <v>EXTRA YARDAGE - RES</v>
      </c>
      <c r="D35" s="233">
        <f>'2180 (Reg.) - Price Out '!I42</f>
        <v>0.41666666666666669</v>
      </c>
      <c r="E35" s="234">
        <v>1</v>
      </c>
      <c r="F35" s="235">
        <f>'2180 (Reg.) - Price Out '!K42</f>
        <v>5</v>
      </c>
      <c r="G35" s="239">
        <f>'2180 (Reg.) - Price Out '!L42</f>
        <v>125</v>
      </c>
      <c r="H35" s="239">
        <f t="shared" si="12"/>
        <v>625</v>
      </c>
      <c r="I35" s="236">
        <f t="shared" ref="I35:I64" si="18">$D$219*H35</f>
        <v>515.09880576115722</v>
      </c>
      <c r="J35" s="237">
        <f>References!$C$51*'Staff Calcs '!I35</f>
        <v>0.22406798050610588</v>
      </c>
      <c r="K35" s="237">
        <f>J35/References!$G$54</f>
        <v>0.22847177394897233</v>
      </c>
      <c r="L35" s="237">
        <f t="shared" ref="L35:L42" si="19">(K35/F35)</f>
        <v>4.5694354789794465E-2</v>
      </c>
      <c r="M35" s="238">
        <f>'Rate Sheet'!C99</f>
        <v>31.02</v>
      </c>
      <c r="N35" s="237">
        <f t="shared" si="13"/>
        <v>31.065694354789795</v>
      </c>
      <c r="O35" s="237">
        <f t="shared" si="15"/>
        <v>155.1</v>
      </c>
      <c r="P35" s="237">
        <f t="shared" si="16"/>
        <v>155.32847177394896</v>
      </c>
      <c r="Q35" s="237">
        <f t="shared" si="14"/>
        <v>0.22847177394896789</v>
      </c>
      <c r="R35" s="303">
        <f t="shared" si="17"/>
        <v>-4.4408920985006262E-15</v>
      </c>
      <c r="S35" s="303"/>
      <c r="T35" s="351"/>
      <c r="U35" s="303"/>
    </row>
    <row r="36" spans="1:21" s="230" customFormat="1">
      <c r="A36" s="365"/>
      <c r="B36" s="231">
        <v>16</v>
      </c>
      <c r="C36" s="232" t="str">
        <f>'2180 (Reg.) - Price Out '!B43</f>
        <v>OVERSIZE CAN - RES</v>
      </c>
      <c r="D36" s="233">
        <f>'2180 (Reg.) - Price Out '!I43</f>
        <v>33.490811061938864</v>
      </c>
      <c r="E36" s="234">
        <v>1</v>
      </c>
      <c r="F36" s="235">
        <f>'2180 (Reg.) - Price Out '!K43</f>
        <v>401.88973274326634</v>
      </c>
      <c r="G36" s="239">
        <f>'2180 (Reg.) - Price Out '!L43</f>
        <v>34</v>
      </c>
      <c r="H36" s="239">
        <f t="shared" si="12"/>
        <v>13664.250913271055</v>
      </c>
      <c r="I36" s="236">
        <f t="shared" si="18"/>
        <v>11261.502923274755</v>
      </c>
      <c r="J36" s="237">
        <f>References!$C$51*'Staff Calcs '!I36</f>
        <v>4.8987537716245724</v>
      </c>
      <c r="K36" s="237">
        <f>J36/References!$G$54</f>
        <v>4.9950330333422439</v>
      </c>
      <c r="L36" s="237">
        <f t="shared" si="19"/>
        <v>1.2428864502824091E-2</v>
      </c>
      <c r="M36" s="238">
        <f>'Rate Sheet'!C9</f>
        <v>7.41</v>
      </c>
      <c r="N36" s="237">
        <f t="shared" si="13"/>
        <v>7.422428864502824</v>
      </c>
      <c r="O36" s="237">
        <f t="shared" si="15"/>
        <v>2978.0029196276037</v>
      </c>
      <c r="P36" s="237">
        <f t="shared" si="16"/>
        <v>2982.9979526609459</v>
      </c>
      <c r="Q36" s="237">
        <f t="shared" si="14"/>
        <v>4.9950330333422244</v>
      </c>
      <c r="R36" s="303">
        <f t="shared" si="17"/>
        <v>-1.9539925233402755E-14</v>
      </c>
      <c r="S36" s="303"/>
      <c r="T36" s="351"/>
      <c r="U36" s="303"/>
    </row>
    <row r="37" spans="1:21" s="230" customFormat="1">
      <c r="A37" s="365"/>
      <c r="B37" s="231">
        <v>16</v>
      </c>
      <c r="C37" s="232" t="str">
        <f>'2180 (Reg.) - Price Out '!B44</f>
        <v>OVERFILL / OVERWEIGHT CAN</v>
      </c>
      <c r="D37" s="233">
        <f>'2180 (Reg.) - Price Out '!I44</f>
        <v>21.38065682817782</v>
      </c>
      <c r="E37" s="234">
        <v>1</v>
      </c>
      <c r="F37" s="235">
        <f>'2180 (Reg.) - Price Out '!K44</f>
        <v>256.56788193813384</v>
      </c>
      <c r="G37" s="239">
        <f>'2180 (Reg.) - Price Out '!L44</f>
        <v>34</v>
      </c>
      <c r="H37" s="239">
        <f t="shared" si="12"/>
        <v>8723.3079858965502</v>
      </c>
      <c r="I37" s="236">
        <f t="shared" si="18"/>
        <v>7189.3848413153255</v>
      </c>
      <c r="J37" s="237">
        <f>References!$C$51*'Staff Calcs '!I37</f>
        <v>3.1273824059722015</v>
      </c>
      <c r="K37" s="237">
        <f>J37/References!$G$54</f>
        <v>3.1888474403856346</v>
      </c>
      <c r="L37" s="237">
        <f t="shared" si="19"/>
        <v>1.2428864502824094E-2</v>
      </c>
      <c r="M37" s="238">
        <f>'Rate Sheet'!C9</f>
        <v>7.41</v>
      </c>
      <c r="N37" s="237">
        <f t="shared" si="13"/>
        <v>7.422428864502824</v>
      </c>
      <c r="O37" s="237">
        <f t="shared" si="15"/>
        <v>1901.1680051615717</v>
      </c>
      <c r="P37" s="237">
        <f t="shared" si="16"/>
        <v>1904.3568526019574</v>
      </c>
      <c r="Q37" s="237">
        <f t="shared" si="14"/>
        <v>3.1888474403856435</v>
      </c>
      <c r="R37" s="303">
        <f t="shared" si="17"/>
        <v>8.8817841970012523E-15</v>
      </c>
      <c r="S37" s="303"/>
      <c r="T37" s="351"/>
      <c r="U37" s="303"/>
    </row>
    <row r="38" spans="1:21" s="230" customFormat="1">
      <c r="A38" s="365"/>
      <c r="B38" s="231">
        <v>34</v>
      </c>
      <c r="C38" s="232" t="str">
        <f>'2180 (Reg.) - Price Out '!B45</f>
        <v>SPECIAL 32 GL - RES</v>
      </c>
      <c r="D38" s="233">
        <f>'2180 (Reg.) - Price Out '!I45</f>
        <v>0.16666666666666666</v>
      </c>
      <c r="E38" s="234">
        <v>1</v>
      </c>
      <c r="F38" s="235">
        <f>'2180 (Reg.) - Price Out '!K45</f>
        <v>2</v>
      </c>
      <c r="G38" s="239">
        <f>'2180 (Reg.) - Price Out '!L45</f>
        <v>34</v>
      </c>
      <c r="H38" s="239">
        <f t="shared" si="12"/>
        <v>68</v>
      </c>
      <c r="I38" s="236">
        <f t="shared" si="18"/>
        <v>56.042750066813902</v>
      </c>
      <c r="J38" s="237">
        <f>References!$C$51*'Staff Calcs '!I38</f>
        <v>2.4378596279064319E-2</v>
      </c>
      <c r="K38" s="237">
        <f>J38/References!$G$54</f>
        <v>2.4857729005648189E-2</v>
      </c>
      <c r="L38" s="237">
        <f t="shared" si="19"/>
        <v>1.2428864502824094E-2</v>
      </c>
      <c r="M38" s="238">
        <f>'Rate Sheet'!C52</f>
        <v>7.61</v>
      </c>
      <c r="N38" s="237">
        <f t="shared" si="13"/>
        <v>7.6224288645028242</v>
      </c>
      <c r="O38" s="237">
        <f t="shared" si="15"/>
        <v>15.22</v>
      </c>
      <c r="P38" s="237">
        <f t="shared" si="16"/>
        <v>15.244857729005648</v>
      </c>
      <c r="Q38" s="237">
        <f t="shared" si="14"/>
        <v>2.4857729005647755E-2</v>
      </c>
      <c r="R38" s="303">
        <f t="shared" si="17"/>
        <v>-4.3368086899420177E-16</v>
      </c>
      <c r="S38" s="303"/>
      <c r="T38" s="351"/>
      <c r="U38" s="303"/>
    </row>
    <row r="39" spans="1:21" s="230" customFormat="1">
      <c r="A39" s="365"/>
      <c r="B39" s="231">
        <v>34</v>
      </c>
      <c r="C39" s="304" t="str">
        <f>'2180 (Reg.) - Price Out '!B46</f>
        <v>SPECIAL 65 GL - RES</v>
      </c>
      <c r="D39" s="233">
        <f>'2180 (Reg.) - Price Out '!I46</f>
        <v>20.114527027027023</v>
      </c>
      <c r="E39" s="234">
        <v>1</v>
      </c>
      <c r="F39" s="235">
        <f>'2180 (Reg.) - Price Out '!K46</f>
        <v>241.37432432432428</v>
      </c>
      <c r="G39" s="239">
        <f>'2180 (Reg.) - Price Out '!L46</f>
        <v>47</v>
      </c>
      <c r="H39" s="239">
        <f t="shared" si="12"/>
        <v>11344.593243243242</v>
      </c>
      <c r="I39" s="236">
        <f t="shared" si="18"/>
        <v>9349.7382903050984</v>
      </c>
      <c r="J39" s="237">
        <f>References!$C$51*'Staff Calcs '!I39</f>
        <v>4.0671361562827633</v>
      </c>
      <c r="K39" s="237">
        <f>J39/References!$G$54</f>
        <v>4.1470709488212938</v>
      </c>
      <c r="L39" s="237">
        <f t="shared" si="19"/>
        <v>1.7181077400962721E-2</v>
      </c>
      <c r="M39" s="238">
        <f>'Rate Sheet'!C50</f>
        <v>8.93</v>
      </c>
      <c r="N39" s="237">
        <f t="shared" si="13"/>
        <v>8.9471810774009626</v>
      </c>
      <c r="O39" s="237">
        <f t="shared" si="15"/>
        <v>2155.4727162162158</v>
      </c>
      <c r="P39" s="237">
        <f t="shared" si="16"/>
        <v>2159.619787165037</v>
      </c>
      <c r="Q39" s="237">
        <f t="shared" si="14"/>
        <v>4.1470709488212378</v>
      </c>
      <c r="R39" s="303">
        <f t="shared" si="17"/>
        <v>-5.595524044110789E-14</v>
      </c>
      <c r="S39" s="303"/>
      <c r="T39" s="351"/>
      <c r="U39" s="303"/>
    </row>
    <row r="40" spans="1:21" s="230" customFormat="1">
      <c r="A40" s="365"/>
      <c r="B40" s="231">
        <v>34</v>
      </c>
      <c r="C40" s="304" t="str">
        <f>'2180 (Reg.) - Price Out '!B47</f>
        <v>SPECIAL 95 GL - RES</v>
      </c>
      <c r="D40" s="233">
        <f>'2180 (Reg.) - Price Out '!I47</f>
        <v>13.407342024262176</v>
      </c>
      <c r="E40" s="234">
        <v>1</v>
      </c>
      <c r="F40" s="235">
        <f>'2180 (Reg.) - Price Out '!K47</f>
        <v>160.88810429114611</v>
      </c>
      <c r="G40" s="239">
        <f>'2180 (Reg.) - Price Out '!L47</f>
        <v>68</v>
      </c>
      <c r="H40" s="239">
        <f t="shared" si="12"/>
        <v>10940.391091797936</v>
      </c>
      <c r="I40" s="236">
        <f t="shared" si="18"/>
        <v>9016.6118175121901</v>
      </c>
      <c r="J40" s="237">
        <f>References!$C$51*'Staff Calcs '!I40</f>
        <v>3.922226140617846</v>
      </c>
      <c r="K40" s="237">
        <f>J40/References!$G$54</f>
        <v>3.999312896701773</v>
      </c>
      <c r="L40" s="237">
        <f t="shared" si="19"/>
        <v>2.4857729005648185E-2</v>
      </c>
      <c r="M40" s="238">
        <f>'Rate Sheet'!C51</f>
        <v>11.72</v>
      </c>
      <c r="N40" s="237">
        <f t="shared" si="13"/>
        <v>11.744857729005648</v>
      </c>
      <c r="O40" s="237">
        <f t="shared" si="15"/>
        <v>1885.6085822922325</v>
      </c>
      <c r="P40" s="237">
        <f t="shared" si="16"/>
        <v>1889.6078951889342</v>
      </c>
      <c r="Q40" s="237">
        <f t="shared" si="14"/>
        <v>3.9993128967016673</v>
      </c>
      <c r="R40" s="303">
        <f t="shared" si="17"/>
        <v>-1.056932319443149E-13</v>
      </c>
      <c r="S40" s="303"/>
      <c r="T40" s="351"/>
      <c r="U40" s="303"/>
    </row>
    <row r="41" spans="1:21" s="230" customFormat="1">
      <c r="A41" s="365"/>
      <c r="B41" s="231">
        <v>34</v>
      </c>
      <c r="C41" s="304" t="str">
        <f>'2180 (Reg.) - Price Out '!B48</f>
        <v>SPECIAL PICK UP 65 GL - RES</v>
      </c>
      <c r="D41" s="233">
        <f>'2180 (Reg.) - Price Out '!I48</f>
        <v>0.33333333333333331</v>
      </c>
      <c r="E41" s="234">
        <v>1</v>
      </c>
      <c r="F41" s="235">
        <f>'2180 (Reg.) - Price Out '!K48</f>
        <v>4</v>
      </c>
      <c r="G41" s="239">
        <f>'2180 (Reg.) - Price Out '!L48</f>
        <v>47</v>
      </c>
      <c r="H41" s="239">
        <f t="shared" si="12"/>
        <v>188</v>
      </c>
      <c r="I41" s="236">
        <f t="shared" si="18"/>
        <v>154.94172077295607</v>
      </c>
      <c r="J41" s="237">
        <f>References!$C$51*'Staff Calcs '!I41</f>
        <v>6.7399648536236645E-2</v>
      </c>
      <c r="K41" s="237">
        <f>J41/References!$G$54</f>
        <v>6.8724309603850869E-2</v>
      </c>
      <c r="L41" s="237">
        <f t="shared" si="19"/>
        <v>1.7181077400962717E-2</v>
      </c>
      <c r="M41" s="238">
        <f>M39</f>
        <v>8.93</v>
      </c>
      <c r="N41" s="237">
        <f t="shared" si="13"/>
        <v>8.9471810774009626</v>
      </c>
      <c r="O41" s="237">
        <f t="shared" si="15"/>
        <v>35.72</v>
      </c>
      <c r="P41" s="237">
        <f t="shared" si="16"/>
        <v>35.78872430960385</v>
      </c>
      <c r="Q41" s="237">
        <f t="shared" si="14"/>
        <v>6.8724309603851452E-2</v>
      </c>
      <c r="R41" s="303">
        <f t="shared" si="17"/>
        <v>5.8286708792820718E-16</v>
      </c>
      <c r="S41" s="303"/>
      <c r="T41" s="351"/>
      <c r="U41" s="303"/>
    </row>
    <row r="42" spans="1:21" s="230" customFormat="1">
      <c r="A42" s="365"/>
      <c r="B42" s="231">
        <v>34</v>
      </c>
      <c r="C42" s="304" t="str">
        <f>'2180 (Reg.) - Price Out '!B49</f>
        <v>SPECIAL PICK UP 95 GL - R</v>
      </c>
      <c r="D42" s="233">
        <f>'2180 (Reg.) - Price Out '!I49</f>
        <v>0.18292456335934595</v>
      </c>
      <c r="E42" s="234">
        <v>1</v>
      </c>
      <c r="F42" s="235">
        <f>'2180 (Reg.) - Price Out '!K49</f>
        <v>2.1950947603121516</v>
      </c>
      <c r="G42" s="239">
        <f>'2180 (Reg.) - Price Out '!L49</f>
        <v>68</v>
      </c>
      <c r="H42" s="239">
        <f t="shared" si="12"/>
        <v>149.26644370122631</v>
      </c>
      <c r="I42" s="236">
        <f t="shared" si="18"/>
        <v>123.01914702514668</v>
      </c>
      <c r="J42" s="237">
        <f>References!$C$51*'Staff Calcs '!I42</f>
        <v>5.3513328955939403E-2</v>
      </c>
      <c r="K42" s="237">
        <f>J42/References!$G$54</f>
        <v>5.4565070693557732E-2</v>
      </c>
      <c r="L42" s="237">
        <f t="shared" si="19"/>
        <v>2.4857729005648189E-2</v>
      </c>
      <c r="M42" s="238">
        <f>M40</f>
        <v>11.72</v>
      </c>
      <c r="N42" s="237">
        <f t="shared" si="13"/>
        <v>11.744857729005648</v>
      </c>
      <c r="O42" s="237">
        <f t="shared" si="15"/>
        <v>25.726510590858418</v>
      </c>
      <c r="P42" s="237">
        <f t="shared" si="16"/>
        <v>25.781075661551974</v>
      </c>
      <c r="Q42" s="237">
        <f t="shared" si="14"/>
        <v>5.4565070693556095E-2</v>
      </c>
      <c r="R42" s="303">
        <f t="shared" si="17"/>
        <v>-1.6375789613221059E-15</v>
      </c>
      <c r="S42" s="303"/>
      <c r="T42" s="351"/>
      <c r="U42" s="303"/>
    </row>
    <row r="43" spans="1:21" s="230" customFormat="1">
      <c r="A43" s="365"/>
      <c r="B43" s="231">
        <v>34</v>
      </c>
      <c r="C43" s="232" t="str">
        <f>'2180 (Reg.) - Price Out '!B50</f>
        <v>SPECIAL SERVICE - RES</v>
      </c>
      <c r="D43" s="233">
        <f>'2180 (Reg.) - Price Out '!I50</f>
        <v>0.13579408212560387</v>
      </c>
      <c r="E43" s="234"/>
      <c r="F43" s="235">
        <f>'2180 (Reg.) - Price Out '!K50</f>
        <v>0</v>
      </c>
      <c r="G43" s="239">
        <f>'2180 (Reg.) - Price Out '!L50</f>
        <v>0</v>
      </c>
      <c r="H43" s="239">
        <f t="shared" si="12"/>
        <v>0</v>
      </c>
      <c r="I43" s="236">
        <f t="shared" si="18"/>
        <v>0</v>
      </c>
      <c r="J43" s="237">
        <f>References!$C$51*'Staff Calcs '!I43</f>
        <v>0</v>
      </c>
      <c r="K43" s="237">
        <f>J43/References!$G$54</f>
        <v>0</v>
      </c>
      <c r="L43" s="237"/>
      <c r="M43" s="238"/>
      <c r="N43" s="237">
        <f t="shared" si="13"/>
        <v>0</v>
      </c>
      <c r="O43" s="237">
        <f t="shared" si="15"/>
        <v>0</v>
      </c>
      <c r="P43" s="237"/>
      <c r="Q43" s="237">
        <f t="shared" si="14"/>
        <v>0</v>
      </c>
      <c r="S43" s="303"/>
      <c r="T43" s="340"/>
      <c r="U43" s="303"/>
    </row>
    <row r="44" spans="1:21" s="230" customFormat="1">
      <c r="A44" s="365"/>
      <c r="B44" s="231">
        <v>34</v>
      </c>
      <c r="C44" s="232" t="str">
        <f>'2180 (Reg.) - Price Out '!B51</f>
        <v>SPECIAL PICK UP RECYCLE - RES</v>
      </c>
      <c r="D44" s="233">
        <f>'2180 (Reg.) - Price Out '!I51</f>
        <v>0.30026809651474534</v>
      </c>
      <c r="E44" s="234"/>
      <c r="F44" s="235">
        <f>'2180 (Reg.) - Price Out '!K51</f>
        <v>0</v>
      </c>
      <c r="G44" s="239">
        <f>'2180 (Reg.) - Price Out '!L51</f>
        <v>0</v>
      </c>
      <c r="H44" s="239">
        <f t="shared" si="12"/>
        <v>0</v>
      </c>
      <c r="I44" s="236">
        <f t="shared" si="18"/>
        <v>0</v>
      </c>
      <c r="J44" s="237">
        <f>References!$C$51*'Staff Calcs '!I44</f>
        <v>0</v>
      </c>
      <c r="K44" s="237">
        <f>J44/References!$G$54</f>
        <v>0</v>
      </c>
      <c r="L44" s="237"/>
      <c r="M44" s="238"/>
      <c r="N44" s="237">
        <f t="shared" si="13"/>
        <v>0</v>
      </c>
      <c r="O44" s="237">
        <f t="shared" si="15"/>
        <v>0</v>
      </c>
      <c r="P44" s="237"/>
      <c r="Q44" s="237">
        <f t="shared" si="14"/>
        <v>0</v>
      </c>
      <c r="S44" s="303"/>
    </row>
    <row r="45" spans="1:21" s="230" customFormat="1">
      <c r="A45" s="365"/>
      <c r="B45" s="231"/>
      <c r="C45" s="232" t="str">
        <f>'2180 (Reg.) - Price Out '!B52</f>
        <v>WALK IN 6-25' - RES</v>
      </c>
      <c r="D45" s="233">
        <f>'2180 (Reg.) - Price Out '!I52</f>
        <v>36.436324786324782</v>
      </c>
      <c r="E45" s="234"/>
      <c r="F45" s="235">
        <f>'2180 (Reg.) - Price Out '!K52</f>
        <v>0</v>
      </c>
      <c r="G45" s="239">
        <f>'2180 (Reg.) - Price Out '!L52</f>
        <v>0</v>
      </c>
      <c r="H45" s="239">
        <f t="shared" si="12"/>
        <v>0</v>
      </c>
      <c r="I45" s="236">
        <f t="shared" si="18"/>
        <v>0</v>
      </c>
      <c r="J45" s="237">
        <f>References!$C$51*'Staff Calcs '!I45</f>
        <v>0</v>
      </c>
      <c r="K45" s="237">
        <f>J45/References!$G$54</f>
        <v>0</v>
      </c>
      <c r="L45" s="237"/>
      <c r="M45" s="238"/>
      <c r="N45" s="237">
        <f t="shared" si="13"/>
        <v>0</v>
      </c>
      <c r="O45" s="237">
        <f t="shared" si="15"/>
        <v>0</v>
      </c>
      <c r="P45" s="237"/>
      <c r="Q45" s="237">
        <f t="shared" si="14"/>
        <v>0</v>
      </c>
      <c r="S45" s="303"/>
    </row>
    <row r="46" spans="1:21" s="230" customFormat="1">
      <c r="A46" s="365"/>
      <c r="B46" s="231"/>
      <c r="C46" s="232" t="str">
        <f>'2180 (Reg.) - Price Out '!B53</f>
        <v>WALK IN 26-50' - RES</v>
      </c>
      <c r="D46" s="233">
        <f>'2180 (Reg.) - Price Out '!I53</f>
        <v>5.666666666666667</v>
      </c>
      <c r="E46" s="234"/>
      <c r="F46" s="235">
        <f>'2180 (Reg.) - Price Out '!K53</f>
        <v>0</v>
      </c>
      <c r="G46" s="239">
        <f>'2180 (Reg.) - Price Out '!L53</f>
        <v>0</v>
      </c>
      <c r="H46" s="239">
        <f t="shared" si="12"/>
        <v>0</v>
      </c>
      <c r="I46" s="236">
        <f t="shared" si="18"/>
        <v>0</v>
      </c>
      <c r="J46" s="237">
        <f>References!$C$51*'Staff Calcs '!I46</f>
        <v>0</v>
      </c>
      <c r="K46" s="237">
        <f>J46/References!$G$54</f>
        <v>0</v>
      </c>
      <c r="L46" s="237"/>
      <c r="M46" s="238"/>
      <c r="N46" s="237">
        <f t="shared" si="13"/>
        <v>0</v>
      </c>
      <c r="O46" s="237">
        <f t="shared" si="15"/>
        <v>0</v>
      </c>
      <c r="P46" s="237"/>
      <c r="Q46" s="237">
        <f t="shared" si="14"/>
        <v>0</v>
      </c>
      <c r="S46" s="303"/>
    </row>
    <row r="47" spans="1:21" s="230" customFormat="1">
      <c r="A47" s="365"/>
      <c r="B47" s="231"/>
      <c r="C47" s="232" t="str">
        <f>'2180 (Reg.) - Price Out '!B54</f>
        <v>WALK IN 51-75' - RES</v>
      </c>
      <c r="D47" s="233">
        <f>'2180 (Reg.) - Price Out '!I54</f>
        <v>5.561797752808989E-2</v>
      </c>
      <c r="E47" s="234"/>
      <c r="F47" s="235">
        <f>'2180 (Reg.) - Price Out '!K54</f>
        <v>0</v>
      </c>
      <c r="G47" s="239">
        <f>'2180 (Reg.) - Price Out '!L54</f>
        <v>0</v>
      </c>
      <c r="H47" s="239">
        <f t="shared" si="12"/>
        <v>0</v>
      </c>
      <c r="I47" s="236">
        <f t="shared" si="18"/>
        <v>0</v>
      </c>
      <c r="J47" s="237">
        <f>References!$C$51*'Staff Calcs '!I47</f>
        <v>0</v>
      </c>
      <c r="K47" s="237">
        <f>J47/References!$G$54</f>
        <v>0</v>
      </c>
      <c r="L47" s="237"/>
      <c r="M47" s="238"/>
      <c r="N47" s="237">
        <f t="shared" si="13"/>
        <v>0</v>
      </c>
      <c r="O47" s="237">
        <f t="shared" si="15"/>
        <v>0</v>
      </c>
      <c r="P47" s="237"/>
      <c r="Q47" s="237">
        <f t="shared" si="14"/>
        <v>0</v>
      </c>
      <c r="S47" s="303"/>
    </row>
    <row r="48" spans="1:21" s="230" customFormat="1">
      <c r="A48" s="365"/>
      <c r="B48" s="231"/>
      <c r="C48" s="232" t="str">
        <f>'2180 (Reg.) - Price Out '!B55</f>
        <v>WALK IN 76-100' - RES</v>
      </c>
      <c r="D48" s="233">
        <f>'2180 (Reg.) - Price Out '!I55</f>
        <v>0.6701754385964912</v>
      </c>
      <c r="E48" s="234"/>
      <c r="F48" s="235">
        <f>'2180 (Reg.) - Price Out '!K55</f>
        <v>0</v>
      </c>
      <c r="G48" s="239">
        <f>'2180 (Reg.) - Price Out '!L55</f>
        <v>0</v>
      </c>
      <c r="H48" s="239">
        <f t="shared" si="12"/>
        <v>0</v>
      </c>
      <c r="I48" s="236">
        <f t="shared" si="18"/>
        <v>0</v>
      </c>
      <c r="J48" s="237">
        <f>References!$C$51*'Staff Calcs '!I48</f>
        <v>0</v>
      </c>
      <c r="K48" s="237">
        <f>J48/References!$G$54</f>
        <v>0</v>
      </c>
      <c r="L48" s="237"/>
      <c r="M48" s="238"/>
      <c r="N48" s="237">
        <f t="shared" si="13"/>
        <v>0</v>
      </c>
      <c r="O48" s="237">
        <f t="shared" si="15"/>
        <v>0</v>
      </c>
      <c r="P48" s="237"/>
      <c r="Q48" s="237">
        <f t="shared" si="14"/>
        <v>0</v>
      </c>
      <c r="S48" s="303"/>
    </row>
    <row r="49" spans="1:21" s="230" customFormat="1">
      <c r="A49" s="365"/>
      <c r="B49" s="231"/>
      <c r="C49" s="232" t="str">
        <f>'2180 (Reg.) - Price Out '!B56</f>
        <v>WALK IN 101-125' - RES</v>
      </c>
      <c r="D49" s="233">
        <f>'2180 (Reg.) - Price Out '!I56</f>
        <v>0.20827338129496406</v>
      </c>
      <c r="E49" s="234"/>
      <c r="F49" s="235">
        <f>'2180 (Reg.) - Price Out '!K56</f>
        <v>0</v>
      </c>
      <c r="G49" s="239">
        <f>'2180 (Reg.) - Price Out '!L56</f>
        <v>0</v>
      </c>
      <c r="H49" s="239">
        <f t="shared" si="12"/>
        <v>0</v>
      </c>
      <c r="I49" s="236">
        <f t="shared" si="18"/>
        <v>0</v>
      </c>
      <c r="J49" s="237">
        <f>References!$C$51*'Staff Calcs '!I49</f>
        <v>0</v>
      </c>
      <c r="K49" s="237">
        <f>J49/References!$G$54</f>
        <v>0</v>
      </c>
      <c r="L49" s="237"/>
      <c r="M49" s="238"/>
      <c r="N49" s="237">
        <f t="shared" si="13"/>
        <v>0</v>
      </c>
      <c r="O49" s="237">
        <f t="shared" si="15"/>
        <v>0</v>
      </c>
      <c r="P49" s="237"/>
      <c r="Q49" s="237">
        <f t="shared" si="14"/>
        <v>0</v>
      </c>
      <c r="S49" s="303"/>
    </row>
    <row r="50" spans="1:21" s="230" customFormat="1">
      <c r="A50" s="365"/>
      <c r="B50" s="231"/>
      <c r="C50" s="232" t="str">
        <f>'2180 (Reg.) - Price Out '!B57</f>
        <v>WALK IN 201-225' - RES</v>
      </c>
      <c r="D50" s="233">
        <f>'2180 (Reg.) - Price Out '!I57</f>
        <v>1</v>
      </c>
      <c r="E50" s="234"/>
      <c r="F50" s="235">
        <f>'2180 (Reg.) - Price Out '!K57</f>
        <v>0</v>
      </c>
      <c r="G50" s="239">
        <f>'2180 (Reg.) - Price Out '!L57</f>
        <v>0</v>
      </c>
      <c r="H50" s="239">
        <f t="shared" si="12"/>
        <v>0</v>
      </c>
      <c r="I50" s="236">
        <f t="shared" si="18"/>
        <v>0</v>
      </c>
      <c r="J50" s="237">
        <f>References!$C$51*'Staff Calcs '!I50</f>
        <v>0</v>
      </c>
      <c r="K50" s="237">
        <f>J50/References!$G$54</f>
        <v>0</v>
      </c>
      <c r="L50" s="237"/>
      <c r="M50" s="238"/>
      <c r="N50" s="237">
        <f t="shared" si="13"/>
        <v>0</v>
      </c>
      <c r="O50" s="237">
        <f t="shared" si="15"/>
        <v>0</v>
      </c>
      <c r="P50" s="237"/>
      <c r="Q50" s="237">
        <f t="shared" si="14"/>
        <v>0</v>
      </c>
      <c r="S50" s="303"/>
    </row>
    <row r="51" spans="1:21" s="230" customFormat="1">
      <c r="A51" s="365"/>
      <c r="B51" s="231"/>
      <c r="C51" s="232" t="str">
        <f>'2180 (Reg.) - Price Out '!B58</f>
        <v>DRIVE IN 2 - RES</v>
      </c>
      <c r="D51" s="233">
        <f>'2180 (Reg.) - Price Out '!I58</f>
        <v>0.91666666666666663</v>
      </c>
      <c r="E51" s="234"/>
      <c r="F51" s="235">
        <f>'2180 (Reg.) - Price Out '!K58</f>
        <v>0</v>
      </c>
      <c r="G51" s="239">
        <f>'2180 (Reg.) - Price Out '!L58</f>
        <v>0</v>
      </c>
      <c r="H51" s="239">
        <f t="shared" si="12"/>
        <v>0</v>
      </c>
      <c r="I51" s="236">
        <f t="shared" si="18"/>
        <v>0</v>
      </c>
      <c r="J51" s="237">
        <f>References!$C$51*'Staff Calcs '!I51</f>
        <v>0</v>
      </c>
      <c r="K51" s="237">
        <f>J51/References!$G$54</f>
        <v>0</v>
      </c>
      <c r="L51" s="237"/>
      <c r="M51" s="238"/>
      <c r="N51" s="237">
        <f t="shared" si="13"/>
        <v>0</v>
      </c>
      <c r="O51" s="237">
        <f t="shared" si="15"/>
        <v>0</v>
      </c>
      <c r="P51" s="237"/>
      <c r="Q51" s="237">
        <f t="shared" si="14"/>
        <v>0</v>
      </c>
      <c r="S51" s="303"/>
    </row>
    <row r="52" spans="1:21" s="230" customFormat="1">
      <c r="A52" s="365"/>
      <c r="B52" s="231"/>
      <c r="C52" s="232" t="str">
        <f>'2180 (Reg.) - Price Out '!B59</f>
        <v>DRIVE IN SERVICE - RES</v>
      </c>
      <c r="D52" s="233">
        <f>'2180 (Reg.) - Price Out '!I59</f>
        <v>136.00676691729322</v>
      </c>
      <c r="E52" s="234"/>
      <c r="F52" s="235">
        <f>'2180 (Reg.) - Price Out '!K59</f>
        <v>0</v>
      </c>
      <c r="G52" s="239">
        <f>'2180 (Reg.) - Price Out '!L59</f>
        <v>0</v>
      </c>
      <c r="H52" s="239">
        <f t="shared" si="12"/>
        <v>0</v>
      </c>
      <c r="I52" s="236">
        <f t="shared" si="18"/>
        <v>0</v>
      </c>
      <c r="J52" s="237">
        <f>References!$C$51*'Staff Calcs '!I52</f>
        <v>0</v>
      </c>
      <c r="K52" s="237">
        <f>J52/References!$G$54</f>
        <v>0</v>
      </c>
      <c r="L52" s="237"/>
      <c r="M52" s="238"/>
      <c r="N52" s="237">
        <f t="shared" si="13"/>
        <v>0</v>
      </c>
      <c r="O52" s="237">
        <f t="shared" si="15"/>
        <v>0</v>
      </c>
      <c r="P52" s="237"/>
      <c r="Q52" s="237">
        <f t="shared" si="14"/>
        <v>0</v>
      </c>
      <c r="S52" s="303"/>
    </row>
    <row r="53" spans="1:21" s="230" customFormat="1">
      <c r="A53" s="365"/>
      <c r="B53" s="231"/>
      <c r="C53" s="232" t="str">
        <f>'2180 (Reg.) - Price Out '!B60</f>
        <v>ACCESS FEE - RES</v>
      </c>
      <c r="D53" s="233">
        <f>'2180 (Reg.) - Price Out '!I60</f>
        <v>5.2870370370370372</v>
      </c>
      <c r="E53" s="234"/>
      <c r="F53" s="235">
        <f>'2180 (Reg.) - Price Out '!K60</f>
        <v>0</v>
      </c>
      <c r="G53" s="239">
        <f>'2180 (Reg.) - Price Out '!L60</f>
        <v>0</v>
      </c>
      <c r="H53" s="239">
        <f t="shared" si="12"/>
        <v>0</v>
      </c>
      <c r="I53" s="236">
        <f t="shared" si="18"/>
        <v>0</v>
      </c>
      <c r="J53" s="237">
        <f>References!$C$51*'Staff Calcs '!I53</f>
        <v>0</v>
      </c>
      <c r="K53" s="237">
        <f>J53/References!$G$54</f>
        <v>0</v>
      </c>
      <c r="L53" s="237"/>
      <c r="M53" s="238"/>
      <c r="N53" s="237">
        <f t="shared" si="13"/>
        <v>0</v>
      </c>
      <c r="O53" s="237">
        <f t="shared" si="15"/>
        <v>0</v>
      </c>
      <c r="P53" s="237"/>
      <c r="Q53" s="237">
        <f t="shared" si="14"/>
        <v>0</v>
      </c>
      <c r="S53" s="303"/>
    </row>
    <row r="54" spans="1:21" s="230" customFormat="1">
      <c r="A54" s="365"/>
      <c r="B54" s="231"/>
      <c r="C54" s="232" t="str">
        <f>'2180 (Reg.) - Price Out '!B61</f>
        <v>APPLIANCE REMOVAL - RES</v>
      </c>
      <c r="D54" s="233">
        <f>'2180 (Reg.) - Price Out '!I61</f>
        <v>8.3333333333333329E-2</v>
      </c>
      <c r="E54" s="234"/>
      <c r="F54" s="235">
        <f>'2180 (Reg.) - Price Out '!K61</f>
        <v>0</v>
      </c>
      <c r="G54" s="239">
        <f>'2180 (Reg.) - Price Out '!L61</f>
        <v>0</v>
      </c>
      <c r="H54" s="239">
        <f t="shared" si="12"/>
        <v>0</v>
      </c>
      <c r="I54" s="236">
        <f t="shared" si="18"/>
        <v>0</v>
      </c>
      <c r="J54" s="237">
        <f>References!$C$51*'Staff Calcs '!I54</f>
        <v>0</v>
      </c>
      <c r="K54" s="237">
        <f>J54/References!$G$54</f>
        <v>0</v>
      </c>
      <c r="L54" s="237"/>
      <c r="M54" s="238"/>
      <c r="N54" s="237">
        <f t="shared" si="13"/>
        <v>0</v>
      </c>
      <c r="O54" s="237">
        <f t="shared" si="15"/>
        <v>0</v>
      </c>
      <c r="P54" s="237"/>
      <c r="Q54" s="237">
        <f t="shared" si="14"/>
        <v>0</v>
      </c>
      <c r="S54" s="303"/>
    </row>
    <row r="55" spans="1:21" s="230" customFormat="1">
      <c r="A55" s="365"/>
      <c r="B55" s="231">
        <v>22</v>
      </c>
      <c r="C55" s="232" t="str">
        <f>'2180 (Reg.) - Price Out '!B62</f>
        <v>PREPAID BAG - RES</v>
      </c>
      <c r="D55" s="233">
        <f>'2180 (Reg.) - Price Out '!I62</f>
        <v>8.4583333333333321</v>
      </c>
      <c r="E55" s="234">
        <v>1</v>
      </c>
      <c r="F55" s="235">
        <f>'2180 (Reg.) - Price Out '!K62</f>
        <v>101.49999999999999</v>
      </c>
      <c r="G55" s="239">
        <f>'2180 (Reg.) - Price Out '!L62</f>
        <v>34</v>
      </c>
      <c r="H55" s="239">
        <f t="shared" si="12"/>
        <v>3450.9999999999995</v>
      </c>
      <c r="I55" s="236">
        <f t="shared" si="18"/>
        <v>2844.1695658908052</v>
      </c>
      <c r="J55" s="237">
        <f>References!$C$51*'Staff Calcs '!I55</f>
        <v>1.237213761162514</v>
      </c>
      <c r="K55" s="237">
        <f>J55/References!$G$54</f>
        <v>1.2615297470366453</v>
      </c>
      <c r="L55" s="237">
        <f t="shared" ref="L55" si="20">(K55/F55)</f>
        <v>1.2428864502824094E-2</v>
      </c>
      <c r="M55" s="238">
        <f>'Rate Sheet'!C53</f>
        <v>4.8099999999999996</v>
      </c>
      <c r="N55" s="237">
        <f t="shared" si="13"/>
        <v>4.8224288645028235</v>
      </c>
      <c r="O55" s="237">
        <f t="shared" si="15"/>
        <v>488.21499999999992</v>
      </c>
      <c r="P55" s="237">
        <f t="shared" ref="P55" si="21">F55*N55</f>
        <v>489.47652974703652</v>
      </c>
      <c r="Q55" s="237">
        <f t="shared" si="14"/>
        <v>1.2615297470366045</v>
      </c>
      <c r="R55" s="303">
        <f>Q55-K55</f>
        <v>-4.0856207306205761E-14</v>
      </c>
      <c r="S55" s="303"/>
      <c r="T55" s="351"/>
      <c r="U55" s="303"/>
    </row>
    <row r="56" spans="1:21" s="230" customFormat="1">
      <c r="A56" s="365"/>
      <c r="B56" s="231"/>
      <c r="C56" s="232" t="str">
        <f>'2180 (Reg.) - Price Out '!B63</f>
        <v>LOCK CHARGE - RES</v>
      </c>
      <c r="D56" s="233">
        <f>'2180 (Reg.) - Price Out '!I63</f>
        <v>0.16666666666666666</v>
      </c>
      <c r="E56" s="234"/>
      <c r="F56" s="235">
        <f>'2180 (Reg.) - Price Out '!K63</f>
        <v>0</v>
      </c>
      <c r="G56" s="239">
        <f>'2180 (Reg.) - Price Out '!L63</f>
        <v>0</v>
      </c>
      <c r="H56" s="239">
        <f t="shared" si="12"/>
        <v>0</v>
      </c>
      <c r="I56" s="236">
        <f t="shared" si="18"/>
        <v>0</v>
      </c>
      <c r="J56" s="237">
        <f>References!$C$51*'Staff Calcs '!I56</f>
        <v>0</v>
      </c>
      <c r="K56" s="237">
        <f>J56/References!$G$54</f>
        <v>0</v>
      </c>
      <c r="L56" s="237"/>
      <c r="M56" s="238"/>
      <c r="N56" s="237">
        <f t="shared" si="13"/>
        <v>0</v>
      </c>
      <c r="O56" s="237">
        <f t="shared" si="15"/>
        <v>0</v>
      </c>
      <c r="P56" s="237"/>
      <c r="Q56" s="237">
        <f t="shared" si="14"/>
        <v>0</v>
      </c>
      <c r="S56" s="303"/>
    </row>
    <row r="57" spans="1:21" s="230" customFormat="1">
      <c r="A57" s="365"/>
      <c r="B57" s="231">
        <v>22</v>
      </c>
      <c r="C57" s="232" t="str">
        <f>'2180 (Reg.) - Price Out '!B64</f>
        <v>ON CALL SERVICE - RES</v>
      </c>
      <c r="D57" s="233">
        <f>'2180 (Reg.) - Price Out '!I64</f>
        <v>76.388270243004627</v>
      </c>
      <c r="E57" s="234">
        <v>1</v>
      </c>
      <c r="F57" s="235">
        <f>'2180 (Reg.) - Price Out '!K64</f>
        <v>916.65924291605552</v>
      </c>
      <c r="G57" s="239">
        <f>'2180 (Reg.) - Price Out '!L64</f>
        <v>34</v>
      </c>
      <c r="H57" s="239">
        <f t="shared" si="12"/>
        <v>31166.414259145888</v>
      </c>
      <c r="I57" s="236">
        <f t="shared" si="18"/>
        <v>25686.052423589674</v>
      </c>
      <c r="J57" s="237">
        <f>References!$C$51*'Staff Calcs '!I57</f>
        <v>11.173432804261632</v>
      </c>
      <c r="K57" s="237">
        <f>J57/References!$G$54</f>
        <v>11.39303352546497</v>
      </c>
      <c r="L57" s="237">
        <f t="shared" ref="L57" si="22">(K57/F57)</f>
        <v>1.2428864502824093E-2</v>
      </c>
      <c r="M57" s="238">
        <f>'Rate Sheet'!C52</f>
        <v>7.61</v>
      </c>
      <c r="N57" s="237">
        <f t="shared" si="13"/>
        <v>7.6224288645028242</v>
      </c>
      <c r="O57" s="237">
        <f t="shared" si="15"/>
        <v>6975.7768385911832</v>
      </c>
      <c r="P57" s="237">
        <f t="shared" ref="P57" si="23">F57*N57</f>
        <v>6987.1698721166476</v>
      </c>
      <c r="Q57" s="237">
        <f t="shared" si="14"/>
        <v>11.393033525464489</v>
      </c>
      <c r="R57" s="303">
        <f>Q57-K57</f>
        <v>-4.8139270347746788E-13</v>
      </c>
      <c r="S57" s="303"/>
      <c r="T57" s="351"/>
      <c r="U57" s="303"/>
    </row>
    <row r="58" spans="1:21" s="230" customFormat="1">
      <c r="A58" s="365"/>
      <c r="B58" s="231"/>
      <c r="C58" s="232" t="str">
        <f>'2180 (Reg.) - Price Out '!B65</f>
        <v>REDELIVER FEE - RES</v>
      </c>
      <c r="D58" s="233">
        <f>'2180 (Reg.) - Price Out '!I65</f>
        <v>11.897435897435898</v>
      </c>
      <c r="E58" s="234"/>
      <c r="F58" s="235">
        <f>'2180 (Reg.) - Price Out '!K65</f>
        <v>0</v>
      </c>
      <c r="G58" s="239">
        <f>'2180 (Reg.) - Price Out '!L65</f>
        <v>0</v>
      </c>
      <c r="H58" s="239">
        <f t="shared" si="12"/>
        <v>0</v>
      </c>
      <c r="I58" s="236">
        <f t="shared" si="18"/>
        <v>0</v>
      </c>
      <c r="J58" s="237">
        <f>References!$C$51*'Staff Calcs '!I58</f>
        <v>0</v>
      </c>
      <c r="K58" s="237">
        <f>J58/References!$G$54</f>
        <v>0</v>
      </c>
      <c r="L58" s="237"/>
      <c r="M58" s="238"/>
      <c r="N58" s="237">
        <f t="shared" si="13"/>
        <v>0</v>
      </c>
      <c r="O58" s="237">
        <f t="shared" si="15"/>
        <v>0</v>
      </c>
      <c r="P58" s="237"/>
      <c r="Q58" s="237">
        <f t="shared" si="14"/>
        <v>0</v>
      </c>
      <c r="S58" s="303"/>
    </row>
    <row r="59" spans="1:21" s="230" customFormat="1">
      <c r="A59" s="365"/>
      <c r="B59" s="231"/>
      <c r="C59" s="232" t="str">
        <f>'2180 (Reg.) - Price Out '!B66</f>
        <v>REINSTATE FEE - RES</v>
      </c>
      <c r="D59" s="233">
        <f>'2180 (Reg.) - Price Out '!I66</f>
        <v>614.00055555555548</v>
      </c>
      <c r="E59" s="234"/>
      <c r="F59" s="235">
        <f>'2180 (Reg.) - Price Out '!K66</f>
        <v>0</v>
      </c>
      <c r="G59" s="239">
        <f>'2180 (Reg.) - Price Out '!L66</f>
        <v>0</v>
      </c>
      <c r="H59" s="239">
        <f t="shared" si="12"/>
        <v>0</v>
      </c>
      <c r="I59" s="236">
        <f t="shared" si="18"/>
        <v>0</v>
      </c>
      <c r="J59" s="237">
        <f>References!$C$51*'Staff Calcs '!I59</f>
        <v>0</v>
      </c>
      <c r="K59" s="237">
        <f>J59/References!$G$54</f>
        <v>0</v>
      </c>
      <c r="L59" s="237"/>
      <c r="M59" s="238"/>
      <c r="N59" s="237">
        <f t="shared" si="13"/>
        <v>0</v>
      </c>
      <c r="O59" s="237">
        <f t="shared" si="15"/>
        <v>0</v>
      </c>
      <c r="P59" s="237"/>
      <c r="Q59" s="237">
        <f t="shared" si="14"/>
        <v>0</v>
      </c>
      <c r="S59" s="303"/>
    </row>
    <row r="60" spans="1:21" s="230" customFormat="1">
      <c r="A60" s="365"/>
      <c r="B60" s="231"/>
      <c r="C60" s="232" t="str">
        <f>'2180 (Reg.) - Price Out '!B67</f>
        <v>RETURN TRIP 65 GL - RES</v>
      </c>
      <c r="D60" s="233">
        <f>'2180 (Reg.) - Price Out '!I67</f>
        <v>24.75</v>
      </c>
      <c r="E60" s="234"/>
      <c r="F60" s="235">
        <f>'2180 (Reg.) - Price Out '!K67</f>
        <v>0</v>
      </c>
      <c r="G60" s="239">
        <f>'2180 (Reg.) - Price Out '!L67</f>
        <v>0</v>
      </c>
      <c r="H60" s="239">
        <f t="shared" si="12"/>
        <v>0</v>
      </c>
      <c r="I60" s="236">
        <f t="shared" si="18"/>
        <v>0</v>
      </c>
      <c r="J60" s="237">
        <f>References!$C$51*'Staff Calcs '!I60</f>
        <v>0</v>
      </c>
      <c r="K60" s="237">
        <f>J60/References!$G$54</f>
        <v>0</v>
      </c>
      <c r="L60" s="237"/>
      <c r="M60" s="238"/>
      <c r="N60" s="237">
        <f t="shared" si="13"/>
        <v>0</v>
      </c>
      <c r="O60" s="237">
        <f t="shared" si="15"/>
        <v>0</v>
      </c>
      <c r="P60" s="237"/>
      <c r="Q60" s="237">
        <f t="shared" si="14"/>
        <v>0</v>
      </c>
      <c r="S60" s="303"/>
    </row>
    <row r="61" spans="1:21" s="230" customFormat="1">
      <c r="A61" s="365"/>
      <c r="B61" s="231"/>
      <c r="C61" s="232" t="str">
        <f>'2180 (Reg.) - Price Out '!B68</f>
        <v>RETURN TRIP 95 GL - RES</v>
      </c>
      <c r="D61" s="233">
        <f>'2180 (Reg.) - Price Out '!I68</f>
        <v>13.666666666666666</v>
      </c>
      <c r="E61" s="234"/>
      <c r="F61" s="235">
        <f>'2180 (Reg.) - Price Out '!K68</f>
        <v>0</v>
      </c>
      <c r="G61" s="239">
        <f>'2180 (Reg.) - Price Out '!L68</f>
        <v>0</v>
      </c>
      <c r="H61" s="239">
        <f t="shared" si="12"/>
        <v>0</v>
      </c>
      <c r="I61" s="236">
        <f t="shared" si="18"/>
        <v>0</v>
      </c>
      <c r="J61" s="237">
        <f>References!$C$51*'Staff Calcs '!I61</f>
        <v>0</v>
      </c>
      <c r="K61" s="237">
        <f>J61/References!$G$54</f>
        <v>0</v>
      </c>
      <c r="L61" s="237"/>
      <c r="M61" s="238"/>
      <c r="N61" s="237">
        <f t="shared" si="13"/>
        <v>0</v>
      </c>
      <c r="O61" s="237">
        <f t="shared" si="15"/>
        <v>0</v>
      </c>
      <c r="P61" s="237"/>
      <c r="Q61" s="237">
        <f t="shared" si="14"/>
        <v>0</v>
      </c>
      <c r="S61" s="303"/>
    </row>
    <row r="62" spans="1:21" s="230" customFormat="1">
      <c r="A62" s="365"/>
      <c r="B62" s="231"/>
      <c r="C62" s="232" t="str">
        <f>'2180 (Reg.) - Price Out '!B69</f>
        <v>RETURN TRIP FEE - RES</v>
      </c>
      <c r="D62" s="233">
        <f>'2180 (Reg.) - Price Out '!I69</f>
        <v>11.472222222222221</v>
      </c>
      <c r="E62" s="234"/>
      <c r="F62" s="235">
        <f>'2180 (Reg.) - Price Out '!K69</f>
        <v>0</v>
      </c>
      <c r="G62" s="239">
        <f>'2180 (Reg.) - Price Out '!L69</f>
        <v>0</v>
      </c>
      <c r="H62" s="239">
        <f t="shared" si="12"/>
        <v>0</v>
      </c>
      <c r="I62" s="236">
        <f t="shared" si="18"/>
        <v>0</v>
      </c>
      <c r="J62" s="237">
        <f>References!$C$51*'Staff Calcs '!I62</f>
        <v>0</v>
      </c>
      <c r="K62" s="237">
        <f>J62/References!$G$54</f>
        <v>0</v>
      </c>
      <c r="L62" s="237"/>
      <c r="M62" s="238"/>
      <c r="N62" s="237">
        <f t="shared" si="13"/>
        <v>0</v>
      </c>
      <c r="O62" s="237">
        <f t="shared" si="15"/>
        <v>0</v>
      </c>
      <c r="P62" s="237"/>
      <c r="Q62" s="237">
        <f t="shared" si="14"/>
        <v>0</v>
      </c>
      <c r="S62" s="303"/>
    </row>
    <row r="63" spans="1:21" s="230" customFormat="1">
      <c r="A63" s="365"/>
      <c r="B63" s="231"/>
      <c r="C63" s="232" t="str">
        <f>'2180 (Reg.) - Price Out '!B70</f>
        <v>TIME FEE 1 - RES</v>
      </c>
      <c r="D63" s="233">
        <f>'2180 (Reg.) - Price Out '!I70</f>
        <v>44.496911764705885</v>
      </c>
      <c r="E63" s="234"/>
      <c r="F63" s="235">
        <f>'2180 (Reg.) - Price Out '!K70</f>
        <v>0</v>
      </c>
      <c r="G63" s="239">
        <f>'2180 (Reg.) - Price Out '!L70</f>
        <v>0</v>
      </c>
      <c r="H63" s="239">
        <f t="shared" si="12"/>
        <v>0</v>
      </c>
      <c r="I63" s="236">
        <f t="shared" si="18"/>
        <v>0</v>
      </c>
      <c r="J63" s="237">
        <f>References!$C$51*'Staff Calcs '!I63</f>
        <v>0</v>
      </c>
      <c r="K63" s="237">
        <f>J63/References!$G$54</f>
        <v>0</v>
      </c>
      <c r="L63" s="237"/>
      <c r="M63" s="238"/>
      <c r="N63" s="237">
        <f t="shared" si="13"/>
        <v>0</v>
      </c>
      <c r="O63" s="237">
        <f t="shared" si="15"/>
        <v>0</v>
      </c>
      <c r="P63" s="237"/>
      <c r="Q63" s="237">
        <f t="shared" si="14"/>
        <v>0</v>
      </c>
      <c r="S63" s="303"/>
    </row>
    <row r="64" spans="1:21" s="230" customFormat="1">
      <c r="A64" s="240"/>
      <c r="B64" s="241"/>
      <c r="C64" s="242" t="str">
        <f>'2180 (Reg.) - Price Out '!B71</f>
        <v>CONTAINER UNRETURNED FEE</v>
      </c>
      <c r="D64" s="243">
        <f>'2180 (Reg.) - Price Out '!I71</f>
        <v>-2.1666666666666665</v>
      </c>
      <c r="E64" s="244"/>
      <c r="F64" s="235">
        <f>'2180 (Reg.) - Price Out '!K71</f>
        <v>0</v>
      </c>
      <c r="G64" s="239">
        <f>'2180 (Reg.) - Price Out '!L71</f>
        <v>0</v>
      </c>
      <c r="H64" s="239">
        <f t="shared" si="12"/>
        <v>0</v>
      </c>
      <c r="I64" s="236">
        <f t="shared" si="18"/>
        <v>0</v>
      </c>
      <c r="J64" s="237">
        <f>References!$C$51*'Staff Calcs '!I64</f>
        <v>0</v>
      </c>
      <c r="K64" s="237">
        <f>J64/References!$G$54</f>
        <v>0</v>
      </c>
      <c r="L64" s="237"/>
      <c r="M64" s="238"/>
      <c r="N64" s="237">
        <f t="shared" si="13"/>
        <v>0</v>
      </c>
      <c r="O64" s="237">
        <f t="shared" si="15"/>
        <v>0</v>
      </c>
      <c r="P64" s="237"/>
      <c r="Q64" s="237">
        <f t="shared" si="14"/>
        <v>0</v>
      </c>
      <c r="S64" s="303"/>
    </row>
    <row r="65" spans="1:21" s="230" customFormat="1">
      <c r="A65" s="248"/>
      <c r="B65" s="249"/>
      <c r="C65" s="250" t="s">
        <v>636</v>
      </c>
      <c r="D65" s="251">
        <f>SUM(D3:D64)</f>
        <v>46910.481551137957</v>
      </c>
      <c r="E65" s="252"/>
      <c r="F65" s="251">
        <f>SUM(F3:F64)</f>
        <v>1960276.3722623836</v>
      </c>
      <c r="G65" s="253"/>
      <c r="H65" s="251">
        <f>SUM(H3:H64)</f>
        <v>94934870.418751732</v>
      </c>
      <c r="I65" s="251">
        <f>SUM(I3:I64)</f>
        <v>78241341.40446274</v>
      </c>
      <c r="J65" s="251">
        <f t="shared" ref="J65:K65" si="24">SUM(J3:J64)</f>
        <v>34034.983510941682</v>
      </c>
      <c r="K65" s="251">
        <f t="shared" si="24"/>
        <v>34703.901206700837</v>
      </c>
      <c r="L65" s="254"/>
      <c r="M65" s="254"/>
      <c r="N65" s="254"/>
      <c r="O65" s="251">
        <f>SUM(O3:O64)</f>
        <v>11911002.878808584</v>
      </c>
      <c r="P65" s="251">
        <f>SUM(P3:P64)</f>
        <v>11945706.780015284</v>
      </c>
      <c r="Q65" s="251">
        <f>SUM(Q3:Q64)</f>
        <v>34703.901206700466</v>
      </c>
      <c r="R65" s="303">
        <f>(I65/2000*References!$B$51)/References!$G$54</f>
        <v>34703.901206700626</v>
      </c>
      <c r="S65" s="357">
        <f>Q65/SUM('2180 (Reg.) - Price Out '!F72+'2180 (Reg.) - Price Out '!G72)</f>
        <v>3.3581067279723842E-3</v>
      </c>
      <c r="T65" s="357"/>
    </row>
    <row r="66" spans="1:21" s="230" customFormat="1" ht="14.45" customHeight="1">
      <c r="A66" s="364" t="s">
        <v>623</v>
      </c>
      <c r="B66" s="231">
        <v>33</v>
      </c>
      <c r="C66" s="232" t="str">
        <f>'2180 (Reg.) - Price Out '!B79</f>
        <v>1 YD 1X WK 1</v>
      </c>
      <c r="D66" s="233">
        <f>'2180 (Reg.) - Price Out '!I79</f>
        <v>1437.0591780721722</v>
      </c>
      <c r="E66" s="234">
        <f>References!$B$7</f>
        <v>4.333333333333333</v>
      </c>
      <c r="F66" s="235">
        <f>D66*E66*12</f>
        <v>74727.077259752943</v>
      </c>
      <c r="G66" s="235">
        <f>References!$B$29</f>
        <v>175</v>
      </c>
      <c r="H66" s="235">
        <f>F66*G66</f>
        <v>13077238.520456765</v>
      </c>
      <c r="I66" s="236">
        <f>$D$219*H66</f>
        <v>10777711.911265731</v>
      </c>
      <c r="J66" s="237">
        <f>References!$C$51*'Staff Calcs '!I66</f>
        <v>4688.3046814006448</v>
      </c>
      <c r="K66" s="237">
        <f>J66/References!$G$54</f>
        <v>4780.4478129961453</v>
      </c>
      <c r="L66" s="237">
        <f>(K66/F66)</f>
        <v>6.3972096705712245E-2</v>
      </c>
      <c r="M66" s="238">
        <f>'Rate Sheet'!$C$114</f>
        <v>30.31</v>
      </c>
      <c r="N66" s="237">
        <f t="shared" ref="N66:N129" si="25">L66+M66</f>
        <v>30.37397209670571</v>
      </c>
      <c r="O66" s="334">
        <f>(M66*D66*12)+('Rate Sheet'!$C$115*References!$J$7*12*D66)</f>
        <v>1509659.4077483783</v>
      </c>
      <c r="P66" s="334">
        <f>(N66*D66*12)+('Rate Sheet'!$E$115*References!$J$7*12*D66)</f>
        <v>1514211.530040289</v>
      </c>
      <c r="Q66" s="336">
        <f>P66-O66</f>
        <v>4552.1222919106949</v>
      </c>
      <c r="R66" s="303">
        <f t="shared" ref="R66:R97" si="26">Q66-K66</f>
        <v>-228.32552108545042</v>
      </c>
      <c r="S66" s="303"/>
      <c r="T66" s="351"/>
      <c r="U66" s="303"/>
    </row>
    <row r="67" spans="1:21" s="230" customFormat="1">
      <c r="A67" s="365"/>
      <c r="B67" s="231">
        <v>33</v>
      </c>
      <c r="C67" s="232" t="str">
        <f>'2180 (Reg.) - Price Out '!B80</f>
        <v>1 YD 2X WK 1</v>
      </c>
      <c r="D67" s="233">
        <f>'2180 (Reg.) - Price Out '!I80</f>
        <v>6.2737218777247206</v>
      </c>
      <c r="E67" s="234">
        <f>References!$B$6</f>
        <v>8.6666666666666661</v>
      </c>
      <c r="F67" s="235">
        <f t="shared" si="4"/>
        <v>652.46707528337083</v>
      </c>
      <c r="G67" s="235">
        <f>References!$B$29</f>
        <v>175</v>
      </c>
      <c r="H67" s="235">
        <f t="shared" ref="H67:H78" si="27">F67*G67</f>
        <v>114181.73817458989</v>
      </c>
      <c r="I67" s="236">
        <f t="shared" ref="I67:I97" si="28">$D$219*H67</f>
        <v>94103.803157543007</v>
      </c>
      <c r="J67" s="237">
        <f>References!$C$51*'Staff Calcs '!I67</f>
        <v>40.93515437353166</v>
      </c>
      <c r="K67" s="237">
        <f>J67/References!$G$54</f>
        <v>41.739686837321024</v>
      </c>
      <c r="L67" s="237">
        <f t="shared" ref="L67:L97" si="29">(K67/F67)</f>
        <v>6.3972096705712231E-2</v>
      </c>
      <c r="M67" s="238">
        <f>'Rate Sheet'!$C$114</f>
        <v>30.31</v>
      </c>
      <c r="N67" s="237">
        <f t="shared" si="25"/>
        <v>30.37397209670571</v>
      </c>
      <c r="O67" s="334">
        <f>(M67*D67*12)+('Rate Sheet'!$C$115*References!$J$6*12*D67)</f>
        <v>12192.100148295112</v>
      </c>
      <c r="P67" s="334">
        <f>(N67*D67*12)+('Rate Sheet'!$E$115*References!$J$6*12*D67)</f>
        <v>12231.547210772151</v>
      </c>
      <c r="Q67" s="336">
        <f t="shared" ref="Q67:Q96" si="30">P67-O67</f>
        <v>39.447062477038344</v>
      </c>
      <c r="R67" s="303">
        <f t="shared" si="26"/>
        <v>-2.2926243602826801</v>
      </c>
      <c r="S67" s="303"/>
      <c r="T67" s="351"/>
      <c r="U67" s="303"/>
    </row>
    <row r="68" spans="1:21" s="230" customFormat="1">
      <c r="A68" s="365"/>
      <c r="B68" s="231">
        <v>33</v>
      </c>
      <c r="C68" s="232" t="str">
        <f>'2180 (Reg.) - Price Out '!B81</f>
        <v>1 YD 3X WK 1</v>
      </c>
      <c r="D68" s="233">
        <f>'2180 (Reg.) - Price Out '!I81</f>
        <v>0.9999772080647501</v>
      </c>
      <c r="E68" s="234">
        <f>References!$B$5</f>
        <v>13</v>
      </c>
      <c r="F68" s="235">
        <f t="shared" si="4"/>
        <v>155.99644445810102</v>
      </c>
      <c r="G68" s="235">
        <f>References!$B$29</f>
        <v>175</v>
      </c>
      <c r="H68" s="235">
        <f t="shared" si="27"/>
        <v>27299.377780167681</v>
      </c>
      <c r="I68" s="236">
        <f t="shared" si="28"/>
        <v>22499.003028139268</v>
      </c>
      <c r="J68" s="237">
        <f>References!$C$51*'Staff Calcs '!I68</f>
        <v>9.78706631724069</v>
      </c>
      <c r="K68" s="237">
        <f>J68/References!$G$54</f>
        <v>9.9794196306209084</v>
      </c>
      <c r="L68" s="237">
        <f t="shared" si="29"/>
        <v>6.3972096705712245E-2</v>
      </c>
      <c r="M68" s="238">
        <f>'Rate Sheet'!$C$114</f>
        <v>30.31</v>
      </c>
      <c r="N68" s="237">
        <f t="shared" si="25"/>
        <v>30.37397209670571</v>
      </c>
      <c r="O68" s="334">
        <f>(M68*D68*12)+('Rate Sheet'!$C$115*References!$J$5*12*D68)</f>
        <v>2836.1353575132443</v>
      </c>
      <c r="P68" s="334">
        <f>(N68*D68*12)+('Rate Sheet'!$E$115*References!$J$5*12*D68)</f>
        <v>2845.5428082548174</v>
      </c>
      <c r="Q68" s="336">
        <f t="shared" si="30"/>
        <v>9.4074507415730295</v>
      </c>
      <c r="R68" s="303">
        <f t="shared" si="26"/>
        <v>-0.5719688890478789</v>
      </c>
      <c r="S68" s="303"/>
      <c r="T68" s="351"/>
      <c r="U68" s="303"/>
    </row>
    <row r="69" spans="1:21" s="230" customFormat="1">
      <c r="A69" s="365"/>
      <c r="B69" s="231">
        <v>33</v>
      </c>
      <c r="C69" s="232" t="str">
        <f>'2180 (Reg.) - Price Out '!B82</f>
        <v>1.5 YD 1X WK 1</v>
      </c>
      <c r="D69" s="233">
        <f>'2180 (Reg.) - Price Out '!I82</f>
        <v>278.39138695827131</v>
      </c>
      <c r="E69" s="234">
        <f>References!$B$7</f>
        <v>4.333333333333333</v>
      </c>
      <c r="F69" s="235">
        <f t="shared" si="4"/>
        <v>14476.352121830108</v>
      </c>
      <c r="G69" s="235">
        <f>References!$B$30</f>
        <v>250</v>
      </c>
      <c r="H69" s="235">
        <f t="shared" si="27"/>
        <v>3619088.0304575269</v>
      </c>
      <c r="I69" s="236">
        <f t="shared" si="28"/>
        <v>2982700.675893073</v>
      </c>
      <c r="J69" s="237">
        <f>References!$C$51*'Staff Calcs '!I69</f>
        <v>1297.4747940135012</v>
      </c>
      <c r="K69" s="237">
        <f>J69/References!$G$54</f>
        <v>1322.9751398337978</v>
      </c>
      <c r="L69" s="237">
        <f t="shared" si="29"/>
        <v>9.1388709579588931E-2</v>
      </c>
      <c r="M69" s="238">
        <f>'Rate Sheet'!$C$116</f>
        <v>41.39</v>
      </c>
      <c r="N69" s="237">
        <f t="shared" si="25"/>
        <v>41.481388709579591</v>
      </c>
      <c r="O69" s="334">
        <f>(M69*D69*12)+('Rate Sheet'!$C$117*References!$J$7*12*D69)</f>
        <v>399291.19848650938</v>
      </c>
      <c r="P69" s="334">
        <f>(N69*D69*12)+('Rate Sheet'!$E$117*References!$J$7*12*D69)</f>
        <v>400598.70943490544</v>
      </c>
      <c r="Q69" s="336">
        <f t="shared" si="30"/>
        <v>1307.510948396055</v>
      </c>
      <c r="R69" s="303">
        <f t="shared" si="26"/>
        <v>-15.464191437742784</v>
      </c>
      <c r="S69" s="303"/>
      <c r="T69" s="351"/>
      <c r="U69" s="303"/>
    </row>
    <row r="70" spans="1:21" s="230" customFormat="1">
      <c r="A70" s="365"/>
      <c r="B70" s="231">
        <v>33</v>
      </c>
      <c r="C70" s="232" t="str">
        <f>'2180 (Reg.) - Price Out '!B83</f>
        <v>1.5 YD 2X WK 1</v>
      </c>
      <c r="D70" s="233">
        <f>'2180 (Reg.) - Price Out '!I83</f>
        <v>20.139808852796779</v>
      </c>
      <c r="E70" s="234">
        <f>References!$B$6</f>
        <v>8.6666666666666661</v>
      </c>
      <c r="F70" s="235">
        <f t="shared" si="4"/>
        <v>2094.540120690865</v>
      </c>
      <c r="G70" s="235">
        <f>References!$B$30</f>
        <v>250</v>
      </c>
      <c r="H70" s="235">
        <f t="shared" si="27"/>
        <v>523635.03017271624</v>
      </c>
      <c r="I70" s="236">
        <f t="shared" si="28"/>
        <v>431558.04591467784</v>
      </c>
      <c r="J70" s="237">
        <f>References!$C$51*'Staff Calcs '!I70</f>
        <v>187.72774997288695</v>
      </c>
      <c r="K70" s="237">
        <f>J70/References!$G$54</f>
        <v>191.41731879261462</v>
      </c>
      <c r="L70" s="237">
        <f t="shared" si="29"/>
        <v>9.1388709579588931E-2</v>
      </c>
      <c r="M70" s="238">
        <f>'Rate Sheet'!$C$116</f>
        <v>41.39</v>
      </c>
      <c r="N70" s="237">
        <f t="shared" si="25"/>
        <v>41.481388709579591</v>
      </c>
      <c r="O70" s="334">
        <f>(M70*D70*12)+('Rate Sheet'!$C$117*References!$J$6*12*D70)</f>
        <v>53434.135255886293</v>
      </c>
      <c r="P70" s="334">
        <f>(N70*D70*12)+('Rate Sheet'!$E$117*References!$J$6*12*D70)</f>
        <v>53622.979486894306</v>
      </c>
      <c r="Q70" s="336">
        <f t="shared" si="30"/>
        <v>188.84423100801359</v>
      </c>
      <c r="R70" s="303">
        <f t="shared" si="26"/>
        <v>-2.5730877846010287</v>
      </c>
      <c r="S70" s="303"/>
      <c r="T70" s="351"/>
      <c r="U70" s="303"/>
    </row>
    <row r="71" spans="1:21" s="230" customFormat="1">
      <c r="A71" s="365"/>
      <c r="B71" s="231">
        <v>33</v>
      </c>
      <c r="C71" s="232" t="str">
        <f>'2180 (Reg.) - Price Out '!B84</f>
        <v>1.5 YD 3X WK 1</v>
      </c>
      <c r="D71" s="233">
        <f>'2180 (Reg.) - Price Out '!I84</f>
        <v>3.9999523120209197</v>
      </c>
      <c r="E71" s="234">
        <f>References!$B$5</f>
        <v>13</v>
      </c>
      <c r="F71" s="235">
        <f t="shared" si="4"/>
        <v>623.99256067526358</v>
      </c>
      <c r="G71" s="235">
        <f>References!$B$30</f>
        <v>250</v>
      </c>
      <c r="H71" s="235">
        <f t="shared" si="27"/>
        <v>155998.14016881588</v>
      </c>
      <c r="I71" s="236">
        <f t="shared" si="28"/>
        <v>128567.12912306986</v>
      </c>
      <c r="J71" s="237">
        <f>References!$C$51*'Staff Calcs '!I71</f>
        <v>55.926701168536006</v>
      </c>
      <c r="K71" s="237">
        <f>J71/References!$G$54</f>
        <v>57.025874907375673</v>
      </c>
      <c r="L71" s="237">
        <f t="shared" si="29"/>
        <v>9.1388709579588903E-2</v>
      </c>
      <c r="M71" s="238">
        <f>'Rate Sheet'!$C$116</f>
        <v>41.39</v>
      </c>
      <c r="N71" s="237">
        <f t="shared" si="25"/>
        <v>41.481388709579591</v>
      </c>
      <c r="O71" s="334">
        <f>(M71*D71*12)+('Rate Sheet'!$C$117*References!$J$5*12*D71)</f>
        <v>15487.975350237484</v>
      </c>
      <c r="P71" s="334">
        <f>(N71*D71*12)+('Rate Sheet'!$E$117*References!$J$5*12*D71)</f>
        <v>15544.201337963379</v>
      </c>
      <c r="Q71" s="336">
        <f t="shared" si="30"/>
        <v>56.225987725894811</v>
      </c>
      <c r="R71" s="303">
        <f t="shared" si="26"/>
        <v>-0.79988718148086235</v>
      </c>
      <c r="S71" s="303"/>
      <c r="T71" s="351"/>
      <c r="U71" s="303"/>
    </row>
    <row r="72" spans="1:21" s="230" customFormat="1">
      <c r="A72" s="365"/>
      <c r="B72" s="231">
        <v>33</v>
      </c>
      <c r="C72" s="232" t="str">
        <f>'2180 (Reg.) - Price Out '!B85</f>
        <v>2 YD 1X WK 1</v>
      </c>
      <c r="D72" s="233">
        <f>'2180 (Reg.) - Price Out '!I85</f>
        <v>393.9091225123164</v>
      </c>
      <c r="E72" s="234">
        <f>References!$B$7</f>
        <v>4.333333333333333</v>
      </c>
      <c r="F72" s="235">
        <f t="shared" si="4"/>
        <v>20483.274370640451</v>
      </c>
      <c r="G72" s="235">
        <f>References!$B$31</f>
        <v>324</v>
      </c>
      <c r="H72" s="235">
        <f t="shared" si="27"/>
        <v>6636580.8960875059</v>
      </c>
      <c r="I72" s="236">
        <f t="shared" si="28"/>
        <v>5469591.830259175</v>
      </c>
      <c r="J72" s="237">
        <f>References!$C$51*'Staff Calcs '!I72</f>
        <v>2379.2724461627677</v>
      </c>
      <c r="K72" s="237">
        <f>J72/References!$G$54</f>
        <v>2426.0342564559564</v>
      </c>
      <c r="L72" s="237">
        <f t="shared" si="29"/>
        <v>0.11843976761514724</v>
      </c>
      <c r="M72" s="238">
        <f>'Rate Sheet'!$C$118</f>
        <v>49.91</v>
      </c>
      <c r="N72" s="237">
        <f t="shared" si="25"/>
        <v>50.028439767615147</v>
      </c>
      <c r="O72" s="334">
        <f>(M72*D72*12)+('Rate Sheet'!$C$119*References!$J$7*12*D72)</f>
        <v>722791.72708029952</v>
      </c>
      <c r="P72" s="334">
        <f>(N72*D72*12)+('Rate Sheet'!$E$119*References!$J$7*12*D72)</f>
        <v>725242.34492754086</v>
      </c>
      <c r="Q72" s="336">
        <f t="shared" si="30"/>
        <v>2450.6178472413449</v>
      </c>
      <c r="R72" s="303">
        <f t="shared" si="26"/>
        <v>24.583590785388424</v>
      </c>
      <c r="S72" s="303"/>
      <c r="T72" s="351"/>
      <c r="U72" s="303"/>
    </row>
    <row r="73" spans="1:21" s="230" customFormat="1">
      <c r="A73" s="365"/>
      <c r="B73" s="231">
        <v>33</v>
      </c>
      <c r="C73" s="232" t="str">
        <f>'2180 (Reg.) - Price Out '!B86</f>
        <v>2 YD 2X WK 1</v>
      </c>
      <c r="D73" s="233">
        <f>'2180 (Reg.) - Price Out '!I86</f>
        <v>35.634253139634559</v>
      </c>
      <c r="E73" s="234">
        <f>References!$B$6</f>
        <v>8.6666666666666661</v>
      </c>
      <c r="F73" s="235">
        <f t="shared" si="4"/>
        <v>3705.9623265219939</v>
      </c>
      <c r="G73" s="235">
        <f>References!$B$31</f>
        <v>324</v>
      </c>
      <c r="H73" s="235">
        <f t="shared" si="27"/>
        <v>1200731.793793126</v>
      </c>
      <c r="I73" s="236">
        <f t="shared" si="28"/>
        <v>989592.82083566603</v>
      </c>
      <c r="J73" s="237">
        <f>References!$C$51*'Staff Calcs '!I73</f>
        <v>430.47287706351949</v>
      </c>
      <c r="K73" s="237">
        <f>J73/References!$G$54</f>
        <v>438.93331674375537</v>
      </c>
      <c r="L73" s="237">
        <f t="shared" si="29"/>
        <v>0.11843976761514724</v>
      </c>
      <c r="M73" s="238">
        <f>'Rate Sheet'!$C$118</f>
        <v>49.91</v>
      </c>
      <c r="N73" s="237">
        <f t="shared" si="25"/>
        <v>50.028439767615147</v>
      </c>
      <c r="O73" s="334">
        <f>(M73*D73*12)+('Rate Sheet'!$C$119*References!$J$6*12*D73)</f>
        <v>122643.12171574304</v>
      </c>
      <c r="P73" s="334">
        <f>(N73*D73*12)+('Rate Sheet'!$E$119*References!$J$6*12*D73)</f>
        <v>123087.17002233659</v>
      </c>
      <c r="Q73" s="336">
        <f t="shared" si="30"/>
        <v>444.04830659355503</v>
      </c>
      <c r="R73" s="303">
        <f t="shared" si="26"/>
        <v>5.114989849799656</v>
      </c>
      <c r="S73" s="303"/>
      <c r="T73" s="351"/>
      <c r="U73" s="303"/>
    </row>
    <row r="74" spans="1:21" s="230" customFormat="1">
      <c r="A74" s="365"/>
      <c r="B74" s="231">
        <v>33</v>
      </c>
      <c r="C74" s="232" t="str">
        <f>'2180 (Reg.) - Price Out '!B87</f>
        <v>2 YD 3X WK 1</v>
      </c>
      <c r="D74" s="233">
        <f>'2180 (Reg.) - Price Out '!I87</f>
        <v>12.997267078100712</v>
      </c>
      <c r="E74" s="234">
        <f>References!$B$5</f>
        <v>13</v>
      </c>
      <c r="F74" s="235">
        <f t="shared" si="4"/>
        <v>2027.5736641837111</v>
      </c>
      <c r="G74" s="235">
        <f>References!$B$31</f>
        <v>324</v>
      </c>
      <c r="H74" s="235">
        <f t="shared" si="27"/>
        <v>656933.86719552241</v>
      </c>
      <c r="I74" s="236">
        <f t="shared" si="28"/>
        <v>541417.36073035561</v>
      </c>
      <c r="J74" s="237">
        <f>References!$C$51*'Staff Calcs '!I74</f>
        <v>235.51655191770729</v>
      </c>
      <c r="K74" s="237">
        <f>J74/References!$G$54</f>
        <v>240.14535360851136</v>
      </c>
      <c r="L74" s="237">
        <f t="shared" si="29"/>
        <v>0.11843976761514725</v>
      </c>
      <c r="M74" s="238">
        <f>'Rate Sheet'!$C$118</f>
        <v>49.91</v>
      </c>
      <c r="N74" s="237">
        <f t="shared" si="25"/>
        <v>50.028439767615147</v>
      </c>
      <c r="O74" s="334">
        <f>(M74*D74*12)+('Rate Sheet'!$C$119*References!$J$5*12*D74)</f>
        <v>65616.962789133002</v>
      </c>
      <c r="P74" s="334">
        <f>(N74*D74*12)+('Rate Sheet'!$E$119*References!$J$5*12*D74)</f>
        <v>65860.028283750929</v>
      </c>
      <c r="Q74" s="336">
        <f t="shared" si="30"/>
        <v>243.06549461792747</v>
      </c>
      <c r="R74" s="303">
        <f t="shared" si="26"/>
        <v>2.9201410094161133</v>
      </c>
      <c r="S74" s="303"/>
      <c r="T74" s="351"/>
      <c r="U74" s="303"/>
    </row>
    <row r="75" spans="1:21" s="230" customFormat="1">
      <c r="A75" s="365"/>
      <c r="B75" s="231">
        <v>33</v>
      </c>
      <c r="C75" s="232" t="str">
        <f>'2180 (Reg.) - Price Out '!B88</f>
        <v>3 YD 1X WK 1</v>
      </c>
      <c r="D75" s="233">
        <f>'2180 (Reg.) - Price Out '!I88</f>
        <v>153.85568312513101</v>
      </c>
      <c r="E75" s="234">
        <f>References!$B$7</f>
        <v>4.333333333333333</v>
      </c>
      <c r="F75" s="235">
        <f t="shared" si="4"/>
        <v>8000.4955225068115</v>
      </c>
      <c r="G75" s="235">
        <f>References!$B$32</f>
        <v>473</v>
      </c>
      <c r="H75" s="235">
        <f t="shared" si="27"/>
        <v>3784234.3821457219</v>
      </c>
      <c r="I75" s="236">
        <f t="shared" si="28"/>
        <v>3118807.3775417148</v>
      </c>
      <c r="J75" s="237">
        <f>References!$C$51*'Staff Calcs '!I75</f>
        <v>1356.6812092306609</v>
      </c>
      <c r="K75" s="237">
        <f>J75/References!$G$54</f>
        <v>1383.3451877240418</v>
      </c>
      <c r="L75" s="237">
        <f t="shared" si="29"/>
        <v>0.17290743852458221</v>
      </c>
      <c r="M75" s="238">
        <f>'Rate Sheet'!$C$120</f>
        <v>67.430000000000007</v>
      </c>
      <c r="N75" s="237">
        <f t="shared" si="25"/>
        <v>67.602907438524582</v>
      </c>
      <c r="O75" s="334">
        <f>(M75*D75*12)+('Rate Sheet'!$C$121*References!$J$7*12*D75)</f>
        <v>393310.51411375991</v>
      </c>
      <c r="P75" s="334">
        <f>(N75*D75*12)+('Rate Sheet'!$E$121*References!$J$7*12*D75)</f>
        <v>394675.96626387018</v>
      </c>
      <c r="Q75" s="336">
        <f t="shared" si="30"/>
        <v>1365.4521501102718</v>
      </c>
      <c r="R75" s="303">
        <f t="shared" si="26"/>
        <v>-17.893037613770048</v>
      </c>
      <c r="S75" s="303"/>
      <c r="T75" s="351"/>
      <c r="U75" s="303"/>
    </row>
    <row r="76" spans="1:21" s="230" customFormat="1">
      <c r="A76" s="365"/>
      <c r="B76" s="231">
        <v>33</v>
      </c>
      <c r="C76" s="232" t="str">
        <f>'2180 (Reg.) - Price Out '!B89</f>
        <v>3 YD 2X WK 1</v>
      </c>
      <c r="D76" s="233">
        <f>'2180 (Reg.) - Price Out '!I89</f>
        <v>18.900576793807414</v>
      </c>
      <c r="E76" s="234">
        <f>References!$B$6</f>
        <v>8.6666666666666661</v>
      </c>
      <c r="F76" s="235">
        <f t="shared" ref="F76:F121" si="31">D76*E76*12</f>
        <v>1965.659986555971</v>
      </c>
      <c r="G76" s="235">
        <f>References!$B$32</f>
        <v>473</v>
      </c>
      <c r="H76" s="239">
        <f t="shared" si="27"/>
        <v>929757.17364097433</v>
      </c>
      <c r="I76" s="236">
        <f t="shared" si="28"/>
        <v>766266.89566453558</v>
      </c>
      <c r="J76" s="237">
        <f>References!$C$51*'Staff Calcs '!I76</f>
        <v>333.32609961407667</v>
      </c>
      <c r="K76" s="237">
        <f>J76/References!$G$54</f>
        <v>339.87723328565772</v>
      </c>
      <c r="L76" s="237">
        <f t="shared" si="29"/>
        <v>0.17290743852458224</v>
      </c>
      <c r="M76" s="238">
        <f>'Rate Sheet'!$C$120</f>
        <v>67.430000000000007</v>
      </c>
      <c r="N76" s="237">
        <f t="shared" si="25"/>
        <v>67.602907438524582</v>
      </c>
      <c r="O76" s="334">
        <f>(M76*D76*12)+('Rate Sheet'!$C$121*References!$J$6*12*D76)</f>
        <v>91246.692598999929</v>
      </c>
      <c r="P76" s="334">
        <f>(N76*D76*12)+('Rate Sheet'!$E$121*References!$J$6*12*D76)</f>
        <v>91581.514223895734</v>
      </c>
      <c r="Q76" s="336">
        <f t="shared" si="30"/>
        <v>334.82162489580514</v>
      </c>
      <c r="R76" s="303">
        <f t="shared" si="26"/>
        <v>-5.0556083898525799</v>
      </c>
      <c r="S76" s="303"/>
      <c r="T76" s="351"/>
      <c r="U76" s="303"/>
    </row>
    <row r="77" spans="1:21" s="230" customFormat="1">
      <c r="A77" s="365"/>
      <c r="B77" s="231">
        <v>33</v>
      </c>
      <c r="C77" s="232" t="str">
        <f>'2180 (Reg.) - Price Out '!B90</f>
        <v>3 YD 3X WK 1</v>
      </c>
      <c r="D77" s="233">
        <f>'2180 (Reg.) - Price Out '!I90</f>
        <v>4.7115612525580239</v>
      </c>
      <c r="E77" s="234">
        <f>References!$B$5</f>
        <v>13</v>
      </c>
      <c r="F77" s="235">
        <f t="shared" si="31"/>
        <v>735.00355539905172</v>
      </c>
      <c r="G77" s="235">
        <f>References!$B$32</f>
        <v>473</v>
      </c>
      <c r="H77" s="235">
        <f t="shared" si="27"/>
        <v>347656.68170375144</v>
      </c>
      <c r="I77" s="236">
        <f t="shared" si="28"/>
        <v>286524.06649678259</v>
      </c>
      <c r="J77" s="237">
        <f>References!$C$51*'Staff Calcs '!I77</f>
        <v>124.63796892610181</v>
      </c>
      <c r="K77" s="237">
        <f>J77/References!$G$54</f>
        <v>127.0875820705109</v>
      </c>
      <c r="L77" s="237">
        <f t="shared" si="29"/>
        <v>0.17290743852458224</v>
      </c>
      <c r="M77" s="238">
        <f>'Rate Sheet'!$C$120</f>
        <v>67.430000000000007</v>
      </c>
      <c r="N77" s="237">
        <f t="shared" si="25"/>
        <v>67.602907438524582</v>
      </c>
      <c r="O77" s="334">
        <f>(M77*D77*12)+('Rate Sheet'!$C$121*References!$J$5*12*D77)</f>
        <v>33447.750256809617</v>
      </c>
      <c r="P77" s="334">
        <f>(N77*D77*12)+('Rate Sheet'!$E$121*References!$J$5*12*D77)</f>
        <v>33572.865244123816</v>
      </c>
      <c r="Q77" s="336">
        <f t="shared" si="30"/>
        <v>125.11498731419852</v>
      </c>
      <c r="R77" s="303">
        <f t="shared" si="26"/>
        <v>-1.9725947563123896</v>
      </c>
      <c r="S77" s="303"/>
      <c r="T77" s="351"/>
      <c r="U77" s="303"/>
    </row>
    <row r="78" spans="1:21" s="230" customFormat="1">
      <c r="A78" s="365"/>
      <c r="B78" s="231">
        <v>33</v>
      </c>
      <c r="C78" s="232" t="str">
        <f>'2180 (Reg.) - Price Out '!B91</f>
        <v>3 YD 5X WK 1</v>
      </c>
      <c r="D78" s="233">
        <f>'2180 (Reg.) - Price Out '!I91</f>
        <v>8.3333835320197336E-2</v>
      </c>
      <c r="E78" s="234">
        <f>References!B3</f>
        <v>21.666666666666668</v>
      </c>
      <c r="F78" s="235">
        <f t="shared" si="31"/>
        <v>21.666797183251308</v>
      </c>
      <c r="G78" s="235">
        <f>References!B32</f>
        <v>473</v>
      </c>
      <c r="H78" s="235">
        <f t="shared" si="27"/>
        <v>10248.39506767787</v>
      </c>
      <c r="I78" s="236">
        <f t="shared" si="28"/>
        <v>8446.2976965270464</v>
      </c>
      <c r="J78" s="237">
        <f>References!$C$51*'Staff Calcs '!I78</f>
        <v>3.6741394979893061</v>
      </c>
      <c r="K78" s="237">
        <f>J78/References!$G$54</f>
        <v>3.7463504019876175</v>
      </c>
      <c r="L78" s="237">
        <f t="shared" si="29"/>
        <v>0.17290743852458226</v>
      </c>
      <c r="M78" s="238">
        <f>'Rate Sheet'!$C$120</f>
        <v>67.430000000000007</v>
      </c>
      <c r="N78" s="237">
        <f t="shared" si="25"/>
        <v>67.602907438524582</v>
      </c>
      <c r="O78" s="334">
        <f>(M78*D78*12)+('Rate Sheet'!$C$121*References!$J$3*12*D78)</f>
        <v>970.15584403067328</v>
      </c>
      <c r="P78" s="334">
        <f>(N78*D78*12)+('Rate Sheet'!$E$121*References!$J$3*12*D78)</f>
        <v>973.84210700786468</v>
      </c>
      <c r="Q78" s="336">
        <f t="shared" si="30"/>
        <v>3.6862629771914044</v>
      </c>
      <c r="R78" s="303">
        <f t="shared" si="26"/>
        <v>-6.0087424796213096E-2</v>
      </c>
      <c r="S78" s="303"/>
      <c r="T78" s="351"/>
      <c r="U78" s="303"/>
    </row>
    <row r="79" spans="1:21" s="230" customFormat="1">
      <c r="A79" s="365"/>
      <c r="B79" s="231">
        <v>33</v>
      </c>
      <c r="C79" s="232" t="str">
        <f>'2180 (Reg.) - Price Out '!B92</f>
        <v>4 YD 1X WK 1</v>
      </c>
      <c r="D79" s="233">
        <f>'2180 (Reg.) - Price Out '!I92</f>
        <v>155.18927721968979</v>
      </c>
      <c r="E79" s="234">
        <f>References!$B$7</f>
        <v>4.333333333333333</v>
      </c>
      <c r="F79" s="235">
        <f t="shared" si="31"/>
        <v>8069.8424154238674</v>
      </c>
      <c r="G79" s="235">
        <f>References!$B$33</f>
        <v>613</v>
      </c>
      <c r="H79" s="235">
        <f>F79*G79</f>
        <v>4946813.400654831</v>
      </c>
      <c r="I79" s="236">
        <f t="shared" si="28"/>
        <v>4076956.2800009474</v>
      </c>
      <c r="J79" s="237">
        <f>References!$C$51*'Staff Calcs '!I79</f>
        <v>1773.4759818004318</v>
      </c>
      <c r="K79" s="237">
        <f>J79/References!$G$54</f>
        <v>1808.331572867452</v>
      </c>
      <c r="L79" s="237">
        <f t="shared" si="29"/>
        <v>0.22408511588915206</v>
      </c>
      <c r="M79" s="237">
        <f>'Rate Sheet'!$C$122</f>
        <v>84.25</v>
      </c>
      <c r="N79" s="237">
        <f t="shared" si="25"/>
        <v>84.474085115889153</v>
      </c>
      <c r="O79" s="334">
        <f>(M79*D79*12)+('Rate Sheet'!$C$123*References!$J$7*12*D79)</f>
        <v>522584.37210958335</v>
      </c>
      <c r="P79" s="334">
        <f>(N79*D79*12)+('Rate Sheet'!$E$123*References!$J$7*12*D79)</f>
        <v>524367.34503516299</v>
      </c>
      <c r="Q79" s="336">
        <f t="shared" si="30"/>
        <v>1782.972925579641</v>
      </c>
      <c r="R79" s="303">
        <f t="shared" si="26"/>
        <v>-25.358647287810982</v>
      </c>
      <c r="S79" s="303"/>
      <c r="T79" s="351"/>
      <c r="U79" s="303"/>
    </row>
    <row r="80" spans="1:21" s="230" customFormat="1">
      <c r="A80" s="365"/>
      <c r="B80" s="231">
        <v>33</v>
      </c>
      <c r="C80" s="232" t="str">
        <f>'2180 (Reg.) - Price Out '!B93</f>
        <v>4 YD 2X WK 1</v>
      </c>
      <c r="D80" s="233">
        <f>'2180 (Reg.) - Price Out '!I93</f>
        <v>44.670398634407121</v>
      </c>
      <c r="E80" s="234">
        <f>References!$B$6</f>
        <v>8.6666666666666661</v>
      </c>
      <c r="F80" s="235">
        <f t="shared" si="31"/>
        <v>4645.7214579783404</v>
      </c>
      <c r="G80" s="235">
        <f>References!$B$33</f>
        <v>613</v>
      </c>
      <c r="H80" s="235">
        <f t="shared" ref="H80:H96" si="32">F80*G80</f>
        <v>2847827.2537407228</v>
      </c>
      <c r="I80" s="236">
        <f t="shared" si="28"/>
        <v>2347059.8678654758</v>
      </c>
      <c r="J80" s="237">
        <f>References!$C$51*'Staff Calcs '!I80</f>
        <v>1020.9710425214934</v>
      </c>
      <c r="K80" s="237">
        <f>J80/References!$G$54</f>
        <v>1041.037031299797</v>
      </c>
      <c r="L80" s="237">
        <f t="shared" si="29"/>
        <v>0.22408511588915209</v>
      </c>
      <c r="M80" s="237">
        <f>'Rate Sheet'!$C$122</f>
        <v>84.25</v>
      </c>
      <c r="N80" s="237">
        <f t="shared" si="25"/>
        <v>84.474085115889153</v>
      </c>
      <c r="O80" s="334">
        <f>(M80*D80*12)+('Rate Sheet'!$C$123*References!$J$6*12*D80)</f>
        <v>287262.82590625453</v>
      </c>
      <c r="P80" s="334">
        <f>(N80*D80*12)+('Rate Sheet'!$E$123*References!$J$6*12*D80)</f>
        <v>288287.07443207264</v>
      </c>
      <c r="Q80" s="336">
        <f t="shared" si="30"/>
        <v>1024.2485258181114</v>
      </c>
      <c r="R80" s="303">
        <f t="shared" si="26"/>
        <v>-16.788505481685661</v>
      </c>
      <c r="S80" s="303"/>
      <c r="T80" s="351"/>
      <c r="U80" s="303"/>
    </row>
    <row r="81" spans="1:21" s="230" customFormat="1">
      <c r="A81" s="365"/>
      <c r="B81" s="231">
        <v>33</v>
      </c>
      <c r="C81" s="232" t="str">
        <f>'2180 (Reg.) - Price Out '!B94</f>
        <v>4 YD 3X WK 1</v>
      </c>
      <c r="D81" s="233">
        <f>'2180 (Reg.) - Price Out '!I94</f>
        <v>6.4772205158308438</v>
      </c>
      <c r="E81" s="234">
        <f>References!$B$5</f>
        <v>13</v>
      </c>
      <c r="F81" s="235">
        <f t="shared" si="31"/>
        <v>1010.4464004696117</v>
      </c>
      <c r="G81" s="235">
        <f>References!$B$33</f>
        <v>613</v>
      </c>
      <c r="H81" s="235">
        <f t="shared" si="32"/>
        <v>619403.64348787197</v>
      </c>
      <c r="I81" s="236">
        <f t="shared" si="28"/>
        <v>510486.52327153989</v>
      </c>
      <c r="J81" s="237">
        <f>References!$C$51*'Staff Calcs '!I81</f>
        <v>222.06163762312232</v>
      </c>
      <c r="K81" s="237">
        <f>J81/References!$G$54</f>
        <v>226.42599874900949</v>
      </c>
      <c r="L81" s="237">
        <f t="shared" si="29"/>
        <v>0.22408511588915206</v>
      </c>
      <c r="M81" s="237">
        <f>'Rate Sheet'!$C$122</f>
        <v>84.25</v>
      </c>
      <c r="N81" s="237">
        <f t="shared" si="25"/>
        <v>84.474085115889153</v>
      </c>
      <c r="O81" s="334">
        <f>(M81*D81*12)+('Rate Sheet'!$C$123*References!$J$5*12*D81)</f>
        <v>61494.990666118661</v>
      </c>
      <c r="P81" s="334">
        <f>(N81*D81*12)+('Rate Sheet'!$E$123*References!$J$5*12*D81)</f>
        <v>61717.606396579351</v>
      </c>
      <c r="Q81" s="336">
        <f t="shared" si="30"/>
        <v>222.61573046068952</v>
      </c>
      <c r="R81" s="303">
        <f t="shared" si="26"/>
        <v>-3.8102682883199748</v>
      </c>
      <c r="S81" s="303"/>
      <c r="T81" s="351"/>
      <c r="U81" s="303"/>
    </row>
    <row r="82" spans="1:21" s="230" customFormat="1">
      <c r="A82" s="365"/>
      <c r="B82" s="231">
        <v>33</v>
      </c>
      <c r="C82" s="232" t="str">
        <f>'2180 (Reg.) - Price Out '!B95</f>
        <v>6 YD 1X WK 1</v>
      </c>
      <c r="D82" s="233">
        <f>'2180 (Reg.) - Price Out '!I95</f>
        <v>156.25340375058201</v>
      </c>
      <c r="E82" s="234">
        <f>References!$B$7</f>
        <v>4.333333333333333</v>
      </c>
      <c r="F82" s="235">
        <f t="shared" si="31"/>
        <v>8125.1769950302642</v>
      </c>
      <c r="G82" s="235">
        <f>References!$B$34</f>
        <v>840</v>
      </c>
      <c r="H82" s="235">
        <f t="shared" si="32"/>
        <v>6825148.6758254217</v>
      </c>
      <c r="I82" s="236">
        <f t="shared" si="28"/>
        <v>5625001.4912960287</v>
      </c>
      <c r="J82" s="237">
        <f>References!$C$51*'Staff Calcs '!I82</f>
        <v>2446.8756487137998</v>
      </c>
      <c r="K82" s="237">
        <f>J82/References!$G$54</f>
        <v>2494.9661206901014</v>
      </c>
      <c r="L82" s="237">
        <f t="shared" si="29"/>
        <v>0.30706606418741877</v>
      </c>
      <c r="M82" s="237">
        <f>'Rate Sheet'!$C$124</f>
        <v>113.03</v>
      </c>
      <c r="N82" s="237">
        <f t="shared" si="25"/>
        <v>113.33706606418743</v>
      </c>
      <c r="O82" s="334">
        <f>(M82*D82*12)+('Rate Sheet'!$C$125*References!$J$7*12*D82)</f>
        <v>720384.44251553318</v>
      </c>
      <c r="P82" s="334">
        <f>(N82*D82*12)+('Rate Sheet'!$E$125*References!$J$7*12*D82)</f>
        <v>722897.74613450735</v>
      </c>
      <c r="Q82" s="336">
        <f t="shared" si="30"/>
        <v>2513.3036189741688</v>
      </c>
      <c r="R82" s="303">
        <f t="shared" si="26"/>
        <v>18.337498284067351</v>
      </c>
      <c r="S82" s="303"/>
      <c r="T82" s="351"/>
      <c r="U82" s="303"/>
    </row>
    <row r="83" spans="1:21" s="230" customFormat="1">
      <c r="A83" s="365"/>
      <c r="B83" s="231">
        <v>33</v>
      </c>
      <c r="C83" s="232" t="str">
        <f>'2180 (Reg.) - Price Out '!B96</f>
        <v>6 YD 1X WK 2</v>
      </c>
      <c r="D83" s="233">
        <f>'2180 (Reg.) - Price Out '!I96</f>
        <v>0.65158765371556138</v>
      </c>
      <c r="E83" s="234">
        <f>References!B7</f>
        <v>4.333333333333333</v>
      </c>
      <c r="F83" s="235">
        <f>D83*E83*12</f>
        <v>33.88255799320919</v>
      </c>
      <c r="G83" s="235">
        <f>References!$B$34*2</f>
        <v>1680</v>
      </c>
      <c r="H83" s="235">
        <f>F83*G83</f>
        <v>56922.69742859144</v>
      </c>
      <c r="I83" s="236">
        <f t="shared" si="28"/>
        <v>46913.30154587383</v>
      </c>
      <c r="J83" s="237">
        <f>References!$C$51*'Staff Calcs '!I83</f>
        <v>20.407286172455343</v>
      </c>
      <c r="K83" s="237">
        <f>J83/References!$G$54</f>
        <v>20.808367455153427</v>
      </c>
      <c r="L83" s="237">
        <f>(K83/F83/2)</f>
        <v>0.30706606418741883</v>
      </c>
      <c r="M83" s="237">
        <f>'Rate Sheet'!$C$124</f>
        <v>113.03</v>
      </c>
      <c r="N83" s="237">
        <f t="shared" si="25"/>
        <v>113.33706606418743</v>
      </c>
      <c r="O83" s="334">
        <f>(M83*D83*12*2)+('Rate Sheet'!$C$123*References!$J$7*12*2*D83)</f>
        <v>4838.3771544179745</v>
      </c>
      <c r="P83" s="334">
        <f>(N83*D83*12*2)+('Rate Sheet'!$E$123*References!$J$7*12*2*D83)</f>
        <v>4854.647028074558</v>
      </c>
      <c r="Q83" s="336">
        <f t="shared" si="30"/>
        <v>16.269873656583513</v>
      </c>
      <c r="R83" s="303">
        <f t="shared" si="26"/>
        <v>-4.5384937985699132</v>
      </c>
      <c r="S83" s="303"/>
      <c r="T83" s="351"/>
      <c r="U83" s="303"/>
    </row>
    <row r="84" spans="1:21" s="230" customFormat="1">
      <c r="A84" s="365"/>
      <c r="B84" s="231">
        <v>33</v>
      </c>
      <c r="C84" s="232" t="str">
        <f>'2180 (Reg.) - Price Out '!B97</f>
        <v>6 YD 2X WK 1</v>
      </c>
      <c r="D84" s="233">
        <f>'2180 (Reg.) - Price Out '!I97</f>
        <v>98.798935071878859</v>
      </c>
      <c r="E84" s="234">
        <f>References!B6</f>
        <v>8.6666666666666661</v>
      </c>
      <c r="F84" s="235">
        <f t="shared" si="31"/>
        <v>10275.0892474754</v>
      </c>
      <c r="G84" s="235">
        <f>References!$B$34</f>
        <v>840</v>
      </c>
      <c r="H84" s="235">
        <f t="shared" si="32"/>
        <v>8631074.9678793363</v>
      </c>
      <c r="I84" s="236">
        <f t="shared" si="28"/>
        <v>7113370.2534234626</v>
      </c>
      <c r="J84" s="237">
        <f>References!$C$51*'Staff Calcs '!I84</f>
        <v>3094.3160602392404</v>
      </c>
      <c r="K84" s="237">
        <f>J84/References!$G$54</f>
        <v>3155.1312143967375</v>
      </c>
      <c r="L84" s="237">
        <f t="shared" si="29"/>
        <v>0.30706606418741877</v>
      </c>
      <c r="M84" s="237">
        <f>'Rate Sheet'!$C$124</f>
        <v>113.03</v>
      </c>
      <c r="N84" s="237">
        <f t="shared" si="25"/>
        <v>113.33706606418743</v>
      </c>
      <c r="O84" s="334">
        <f>(M84*D84*12)+('Rate Sheet'!$C$125*References!$J$6*12*D84)</f>
        <v>873437.91343904927</v>
      </c>
      <c r="P84" s="334">
        <f>(N84*D84*12)+('Rate Sheet'!$E$125*References!$J$6*12*D84)</f>
        <v>876619.71266896045</v>
      </c>
      <c r="Q84" s="336">
        <f t="shared" si="30"/>
        <v>3181.7992299111793</v>
      </c>
      <c r="R84" s="303">
        <f t="shared" si="26"/>
        <v>26.668015514441777</v>
      </c>
      <c r="S84" s="303"/>
      <c r="T84" s="351"/>
      <c r="U84" s="303"/>
    </row>
    <row r="85" spans="1:21" s="230" customFormat="1">
      <c r="A85" s="365"/>
      <c r="B85" s="231">
        <v>33</v>
      </c>
      <c r="C85" s="232" t="str">
        <f>'2180 (Reg.) - Price Out '!B98</f>
        <v>6 YD 3X WK 1</v>
      </c>
      <c r="D85" s="233">
        <f>'2180 (Reg.) - Price Out '!I98</f>
        <v>20.113174143317508</v>
      </c>
      <c r="E85" s="234">
        <f>References!$B$5</f>
        <v>13</v>
      </c>
      <c r="F85" s="235">
        <f t="shared" si="31"/>
        <v>3137.655166357531</v>
      </c>
      <c r="G85" s="235">
        <f>References!$B$34</f>
        <v>840</v>
      </c>
      <c r="H85" s="235">
        <f t="shared" si="32"/>
        <v>2635630.3397403262</v>
      </c>
      <c r="I85" s="236">
        <f t="shared" si="28"/>
        <v>2172176.0646849838</v>
      </c>
      <c r="J85" s="237">
        <f>References!$C$51*'Staff Calcs '!I85</f>
        <v>944.89658813797848</v>
      </c>
      <c r="K85" s="237">
        <f>J85/References!$G$54</f>
        <v>963.46742271072776</v>
      </c>
      <c r="L85" s="237">
        <f t="shared" si="29"/>
        <v>0.30706606418741877</v>
      </c>
      <c r="M85" s="237">
        <f>'Rate Sheet'!$C$124</f>
        <v>113.03</v>
      </c>
      <c r="N85" s="237">
        <f t="shared" si="25"/>
        <v>113.33706606418743</v>
      </c>
      <c r="O85" s="334">
        <f>(M85*D85*12)+('Rate Sheet'!$C$125*References!$J$5*12*D85)</f>
        <v>262894.47206550871</v>
      </c>
      <c r="P85" s="334">
        <f>(N85*D85*12)+('Rate Sheet'!$E$125*References!$J$5*12*D85)</f>
        <v>263866.43703793647</v>
      </c>
      <c r="Q85" s="336">
        <f t="shared" si="30"/>
        <v>971.96497242775513</v>
      </c>
      <c r="R85" s="303">
        <f t="shared" si="26"/>
        <v>8.4975497170273684</v>
      </c>
      <c r="S85" s="303"/>
      <c r="T85" s="351"/>
      <c r="U85" s="303"/>
    </row>
    <row r="86" spans="1:21" s="230" customFormat="1">
      <c r="A86" s="365"/>
      <c r="B86" s="231">
        <v>33</v>
      </c>
      <c r="C86" s="232" t="str">
        <f>'2180 (Reg.) - Price Out '!B99</f>
        <v>6 YD 4X WK 1</v>
      </c>
      <c r="D86" s="233">
        <f>'2180 (Reg.) - Price Out '!I99</f>
        <v>0.83333974019641932</v>
      </c>
      <c r="E86" s="234">
        <f>References!$B$4</f>
        <v>17.333333333333332</v>
      </c>
      <c r="F86" s="235">
        <f t="shared" si="31"/>
        <v>173.3346659608552</v>
      </c>
      <c r="G86" s="235">
        <f>References!$B$34</f>
        <v>840</v>
      </c>
      <c r="H86" s="235">
        <f t="shared" si="32"/>
        <v>145601.11940711839</v>
      </c>
      <c r="I86" s="236">
        <f t="shared" si="28"/>
        <v>119998.34035855092</v>
      </c>
      <c r="J86" s="237">
        <f>References!$C$51*'Staff Calcs '!I86</f>
        <v>52.199278055970233</v>
      </c>
      <c r="K86" s="237">
        <f>J86/References!$G$54</f>
        <v>53.225193663840763</v>
      </c>
      <c r="L86" s="237">
        <f t="shared" si="29"/>
        <v>0.30706606418741883</v>
      </c>
      <c r="M86" s="237">
        <f>'Rate Sheet'!$C$124</f>
        <v>113.03</v>
      </c>
      <c r="N86" s="237">
        <f t="shared" si="25"/>
        <v>113.33706606418743</v>
      </c>
      <c r="O86" s="334">
        <f>(M86*D86*12)+('Rate Sheet'!$C$125*References!$J$4*12*D86)</f>
        <v>14417.577511548641</v>
      </c>
      <c r="P86" s="334">
        <f>(N86*D86*12)+('Rate Sheet'!$E$125*References!$J$4*12*D86)</f>
        <v>14471.281918412813</v>
      </c>
      <c r="Q86" s="336">
        <f t="shared" si="30"/>
        <v>53.704406864171688</v>
      </c>
      <c r="R86" s="303">
        <f t="shared" si="26"/>
        <v>0.47921320033092485</v>
      </c>
      <c r="S86" s="303"/>
      <c r="T86" s="351"/>
      <c r="U86" s="303"/>
    </row>
    <row r="87" spans="1:21" s="230" customFormat="1">
      <c r="A87" s="365"/>
      <c r="B87" s="231">
        <v>33</v>
      </c>
      <c r="C87" s="232" t="str">
        <f>'2180 (Reg.) - Price Out '!B100</f>
        <v>6 YD 5X WK 1</v>
      </c>
      <c r="D87" s="233">
        <f>'2180 (Reg.) - Price Out '!I100</f>
        <v>2.1621168187608548</v>
      </c>
      <c r="E87" s="234">
        <f>References!B3</f>
        <v>21.666666666666668</v>
      </c>
      <c r="F87" s="235">
        <f t="shared" si="31"/>
        <v>562.15037287782229</v>
      </c>
      <c r="G87" s="235">
        <f>References!$B$34</f>
        <v>840</v>
      </c>
      <c r="H87" s="235">
        <f t="shared" si="32"/>
        <v>472206.31321737071</v>
      </c>
      <c r="I87" s="236">
        <f t="shared" si="28"/>
        <v>389172.65281783452</v>
      </c>
      <c r="J87" s="237">
        <f>References!$C$51*'Staff Calcs '!I87</f>
        <v>169.29010397575991</v>
      </c>
      <c r="K87" s="237">
        <f>J87/References!$G$54</f>
        <v>172.61730248108279</v>
      </c>
      <c r="L87" s="237">
        <f t="shared" si="29"/>
        <v>0.30706606418741877</v>
      </c>
      <c r="M87" s="237">
        <f>'Rate Sheet'!$C$124</f>
        <v>113.03</v>
      </c>
      <c r="N87" s="237">
        <f t="shared" si="25"/>
        <v>113.33706606418743</v>
      </c>
      <c r="O87" s="334">
        <f>(M87*D87*12)+('Rate Sheet'!$C$125*References!$J$3*12*D87)</f>
        <v>46552.883163430961</v>
      </c>
      <c r="P87" s="334">
        <f>(N87*D87*12)+('Rate Sheet'!$E$125*References!$J$3*12*D87)</f>
        <v>46727.073656879504</v>
      </c>
      <c r="Q87" s="336">
        <f t="shared" si="30"/>
        <v>174.19049344854284</v>
      </c>
      <c r="R87" s="303">
        <f t="shared" si="26"/>
        <v>1.5731909674600502</v>
      </c>
      <c r="S87" s="303"/>
      <c r="T87" s="351"/>
      <c r="U87" s="303"/>
    </row>
    <row r="88" spans="1:21" s="230" customFormat="1">
      <c r="A88" s="365"/>
      <c r="B88" s="231">
        <v>35</v>
      </c>
      <c r="C88" s="232" t="str">
        <f>'2180 (Reg.) - Price Out '!B101</f>
        <v>2 YD 1X WK COMP 1</v>
      </c>
      <c r="D88" s="233">
        <f>'2180 (Reg.) - Price Out '!I101</f>
        <v>0.99999713800571721</v>
      </c>
      <c r="E88" s="234">
        <f>References!$B$7</f>
        <v>4.333333333333333</v>
      </c>
      <c r="F88" s="235">
        <f t="shared" si="31"/>
        <v>51.999851176297291</v>
      </c>
      <c r="G88" s="235">
        <f>References!B38</f>
        <v>892</v>
      </c>
      <c r="H88" s="235">
        <f t="shared" si="32"/>
        <v>46383.867249257186</v>
      </c>
      <c r="I88" s="236">
        <f t="shared" si="28"/>
        <v>38227.639402682282</v>
      </c>
      <c r="J88" s="237">
        <f>References!$C$51*'Staff Calcs '!I88</f>
        <v>16.629023140166979</v>
      </c>
      <c r="K88" s="237">
        <f>J88/References!$G$54</f>
        <v>16.955847092882287</v>
      </c>
      <c r="L88" s="237">
        <f t="shared" si="29"/>
        <v>0.32607491577997333</v>
      </c>
      <c r="M88" s="237">
        <f>'Rate Sheet'!C160</f>
        <v>95.95</v>
      </c>
      <c r="N88" s="237">
        <f t="shared" si="25"/>
        <v>96.276074915779972</v>
      </c>
      <c r="O88" s="237">
        <f>F88*M88</f>
        <v>4989.3857203657253</v>
      </c>
      <c r="P88" s="237">
        <f>F88*N88</f>
        <v>5006.3415674586076</v>
      </c>
      <c r="Q88" s="237">
        <f t="shared" si="30"/>
        <v>16.955847092882323</v>
      </c>
      <c r="R88" s="303">
        <f t="shared" si="26"/>
        <v>3.5527136788005009E-14</v>
      </c>
      <c r="S88" s="303"/>
      <c r="T88" s="351"/>
      <c r="U88" s="303"/>
    </row>
    <row r="89" spans="1:21" s="230" customFormat="1">
      <c r="A89" s="365"/>
      <c r="B89" s="231">
        <v>35</v>
      </c>
      <c r="C89" s="232" t="str">
        <f>'2180 (Reg.) - Price Out '!B102</f>
        <v>3 YD 2X WK COMP 1</v>
      </c>
      <c r="D89" s="233">
        <f>'2180 (Reg.) - Price Out '!I102</f>
        <v>4.0000250935163626</v>
      </c>
      <c r="E89" s="234">
        <f>References!$B$6</f>
        <v>8.6666666666666661</v>
      </c>
      <c r="F89" s="235">
        <f t="shared" si="31"/>
        <v>416.00260972570169</v>
      </c>
      <c r="G89" s="235">
        <f>References!B39</f>
        <v>1301</v>
      </c>
      <c r="H89" s="235">
        <f t="shared" si="32"/>
        <v>541219.39525313792</v>
      </c>
      <c r="I89" s="236">
        <f t="shared" si="28"/>
        <v>446050.34263946727</v>
      </c>
      <c r="J89" s="237">
        <f>References!$C$51*'Staff Calcs '!I89</f>
        <v>194.03189904817043</v>
      </c>
      <c r="K89" s="237">
        <f>J89/References!$G$54</f>
        <v>197.84536852651908</v>
      </c>
      <c r="L89" s="237">
        <f t="shared" si="29"/>
        <v>0.47558684465218076</v>
      </c>
      <c r="M89" s="237">
        <f>'Rate Sheet'!C161</f>
        <v>134.38</v>
      </c>
      <c r="N89" s="237">
        <f t="shared" si="25"/>
        <v>134.85558684465218</v>
      </c>
      <c r="O89" s="237">
        <f>F89*M89</f>
        <v>55902.430694939794</v>
      </c>
      <c r="P89" s="237">
        <f t="shared" ref="P89:P97" si="33">F89*N89</f>
        <v>56100.276063466314</v>
      </c>
      <c r="Q89" s="237">
        <f t="shared" si="30"/>
        <v>197.84536852651945</v>
      </c>
      <c r="R89" s="303">
        <f t="shared" si="26"/>
        <v>3.694822225952521E-13</v>
      </c>
      <c r="S89" s="303"/>
      <c r="T89" s="351"/>
      <c r="U89" s="303"/>
    </row>
    <row r="90" spans="1:21" s="230" customFormat="1">
      <c r="A90" s="365"/>
      <c r="B90" s="231">
        <v>35</v>
      </c>
      <c r="C90" s="232" t="str">
        <f>'2180 (Reg.) - Price Out '!B103</f>
        <v>4 YD 1X WK COMP 1</v>
      </c>
      <c r="D90" s="233">
        <f>'2180 (Reg.) - Price Out '!I103</f>
        <v>3.000008975973786</v>
      </c>
      <c r="E90" s="234">
        <f>References!$B$7</f>
        <v>4.333333333333333</v>
      </c>
      <c r="F90" s="235">
        <f t="shared" si="31"/>
        <v>156.00046675063686</v>
      </c>
      <c r="G90" s="235">
        <f>References!B40</f>
        <v>1686</v>
      </c>
      <c r="H90" s="235">
        <f t="shared" si="32"/>
        <v>263016.78694157372</v>
      </c>
      <c r="I90" s="236">
        <f t="shared" si="28"/>
        <v>216767.41255798616</v>
      </c>
      <c r="J90" s="237">
        <f>References!$C$51*'Staff Calcs '!I90</f>
        <v>94.293824462725027</v>
      </c>
      <c r="K90" s="237">
        <f>J90/References!$G$54</f>
        <v>96.147059025440399</v>
      </c>
      <c r="L90" s="237">
        <f t="shared" si="29"/>
        <v>0.61632545740474776</v>
      </c>
      <c r="M90" s="237">
        <f>'Rate Sheet'!$C$162</f>
        <v>177.26</v>
      </c>
      <c r="N90" s="237">
        <f t="shared" si="25"/>
        <v>177.87632545740473</v>
      </c>
      <c r="O90" s="237">
        <f t="shared" ref="O90:O97" si="34">F90*M90</f>
        <v>27652.642736217887</v>
      </c>
      <c r="P90" s="237">
        <f t="shared" si="33"/>
        <v>27748.789795243327</v>
      </c>
      <c r="Q90" s="237">
        <f t="shared" si="30"/>
        <v>96.147059025439376</v>
      </c>
      <c r="R90" s="303">
        <f t="shared" si="26"/>
        <v>-1.0231815394945443E-12</v>
      </c>
      <c r="S90" s="303"/>
      <c r="T90" s="351"/>
      <c r="U90" s="303"/>
    </row>
    <row r="91" spans="1:21" s="230" customFormat="1">
      <c r="A91" s="365"/>
      <c r="B91" s="231">
        <v>35</v>
      </c>
      <c r="C91" s="232" t="str">
        <f>'2180 (Reg.) - Price Out '!B104</f>
        <v>4 YD 2X WK COMP 1</v>
      </c>
      <c r="D91" s="233">
        <f>'2180 (Reg.) - Price Out '!I104</f>
        <v>1.0000029919912621</v>
      </c>
      <c r="E91" s="234">
        <f>References!$B$6</f>
        <v>8.6666666666666661</v>
      </c>
      <c r="F91" s="235">
        <f t="shared" si="31"/>
        <v>104.00031116709125</v>
      </c>
      <c r="G91" s="235">
        <f>References!B40</f>
        <v>1686</v>
      </c>
      <c r="H91" s="235">
        <f t="shared" si="32"/>
        <v>175344.52462771584</v>
      </c>
      <c r="I91" s="236">
        <f t="shared" si="28"/>
        <v>144511.60837199079</v>
      </c>
      <c r="J91" s="237">
        <f>References!$C$51*'Staff Calcs '!I91</f>
        <v>62.862549641816692</v>
      </c>
      <c r="K91" s="237">
        <f>J91/References!$G$54</f>
        <v>64.098039350293604</v>
      </c>
      <c r="L91" s="237">
        <f t="shared" si="29"/>
        <v>0.61632545740474765</v>
      </c>
      <c r="M91" s="237">
        <f>'Rate Sheet'!$C$162</f>
        <v>177.26</v>
      </c>
      <c r="N91" s="237">
        <f t="shared" si="25"/>
        <v>177.87632545740473</v>
      </c>
      <c r="O91" s="237">
        <f t="shared" si="34"/>
        <v>18435.095157478594</v>
      </c>
      <c r="P91" s="237">
        <f t="shared" si="33"/>
        <v>18499.193196828888</v>
      </c>
      <c r="Q91" s="237">
        <f t="shared" si="30"/>
        <v>64.09803935029413</v>
      </c>
      <c r="R91" s="303">
        <f t="shared" si="26"/>
        <v>5.2580162446247414E-13</v>
      </c>
      <c r="S91" s="303"/>
      <c r="T91" s="351"/>
      <c r="U91" s="303"/>
    </row>
    <row r="92" spans="1:21" s="230" customFormat="1">
      <c r="A92" s="365"/>
      <c r="B92" s="231">
        <v>33</v>
      </c>
      <c r="C92" s="232" t="str">
        <f>'2180 (Reg.) - Price Out '!B105</f>
        <v>1 YD TEMP</v>
      </c>
      <c r="D92" s="233">
        <f>'2180 (Reg.) - Price Out '!I105</f>
        <v>4.5833333333333339</v>
      </c>
      <c r="E92" s="234"/>
      <c r="F92" s="235">
        <f>'2180 (Reg.) - Price Out '!K105</f>
        <v>55.000000000000007</v>
      </c>
      <c r="G92" s="235">
        <f>G68</f>
        <v>175</v>
      </c>
      <c r="H92" s="235">
        <f t="shared" si="32"/>
        <v>9625.0000000000018</v>
      </c>
      <c r="I92" s="236">
        <f t="shared" si="28"/>
        <v>7932.5216087218223</v>
      </c>
      <c r="J92" s="237">
        <f>References!$C$51*'Staff Calcs '!I92</f>
        <v>3.4506468997940312</v>
      </c>
      <c r="K92" s="237">
        <f>J92/References!$G$54</f>
        <v>3.5184653188141746</v>
      </c>
      <c r="L92" s="237">
        <f t="shared" si="29"/>
        <v>6.3972096705712259E-2</v>
      </c>
      <c r="M92" s="237">
        <f>'Rate Sheet'!C136</f>
        <v>21.96</v>
      </c>
      <c r="N92" s="237">
        <f t="shared" si="25"/>
        <v>22.023972096705712</v>
      </c>
      <c r="O92" s="237">
        <f t="shared" si="34"/>
        <v>1207.8000000000002</v>
      </c>
      <c r="P92" s="237">
        <f t="shared" si="33"/>
        <v>1211.3184653188143</v>
      </c>
      <c r="Q92" s="237">
        <f t="shared" si="30"/>
        <v>3.518465318814151</v>
      </c>
      <c r="R92" s="303">
        <f t="shared" si="26"/>
        <v>-2.3536728122053319E-14</v>
      </c>
      <c r="S92" s="303"/>
      <c r="T92" s="351"/>
      <c r="U92" s="303"/>
    </row>
    <row r="93" spans="1:21" s="230" customFormat="1">
      <c r="A93" s="365"/>
      <c r="B93" s="231">
        <v>33</v>
      </c>
      <c r="C93" s="232" t="str">
        <f>'2180 (Reg.) - Price Out '!B106</f>
        <v>1.5 YD TEMP</v>
      </c>
      <c r="D93" s="233">
        <f>'2180 (Reg.) - Price Out '!I106</f>
        <v>3.9166666666666674</v>
      </c>
      <c r="E93" s="234"/>
      <c r="F93" s="235">
        <f>'2180 (Reg.) - Price Out '!K106</f>
        <v>47.000000000000007</v>
      </c>
      <c r="G93" s="235">
        <f>G69</f>
        <v>250</v>
      </c>
      <c r="H93" s="235">
        <f t="shared" si="32"/>
        <v>11750.000000000002</v>
      </c>
      <c r="I93" s="236">
        <f t="shared" si="28"/>
        <v>9683.8575483097575</v>
      </c>
      <c r="J93" s="237">
        <f>References!$C$51*'Staff Calcs '!I93</f>
        <v>4.2124780335147909</v>
      </c>
      <c r="K93" s="237">
        <f>J93/References!$G$54</f>
        <v>4.2952693502406802</v>
      </c>
      <c r="L93" s="237">
        <f t="shared" si="29"/>
        <v>9.1388709579588931E-2</v>
      </c>
      <c r="M93" s="237">
        <f>'Rate Sheet'!C137</f>
        <v>29.17</v>
      </c>
      <c r="N93" s="237">
        <f t="shared" si="25"/>
        <v>29.261388709579592</v>
      </c>
      <c r="O93" s="237">
        <f t="shared" si="34"/>
        <v>1370.9900000000002</v>
      </c>
      <c r="P93" s="237">
        <f t="shared" si="33"/>
        <v>1375.2852693502409</v>
      </c>
      <c r="Q93" s="237">
        <f t="shared" si="30"/>
        <v>4.2952693502406873</v>
      </c>
      <c r="R93" s="303">
        <f t="shared" si="26"/>
        <v>7.1054273576010019E-15</v>
      </c>
      <c r="S93" s="303"/>
      <c r="T93" s="351"/>
      <c r="U93" s="303"/>
    </row>
    <row r="94" spans="1:21" s="230" customFormat="1">
      <c r="A94" s="365"/>
      <c r="B94" s="231">
        <v>33</v>
      </c>
      <c r="C94" s="232" t="str">
        <f>'2180 (Reg.) - Price Out '!B107</f>
        <v>2 YD TEMP</v>
      </c>
      <c r="D94" s="233">
        <f>'2180 (Reg.) - Price Out '!I107</f>
        <v>50.022965973834204</v>
      </c>
      <c r="E94" s="234"/>
      <c r="F94" s="235">
        <f>'2180 (Reg.) - Price Out '!K107</f>
        <v>600.27559168601044</v>
      </c>
      <c r="G94" s="235">
        <f>G72</f>
        <v>324</v>
      </c>
      <c r="H94" s="235">
        <f t="shared" si="32"/>
        <v>194489.2917062674</v>
      </c>
      <c r="I94" s="236">
        <f t="shared" si="28"/>
        <v>160289.92302597067</v>
      </c>
      <c r="J94" s="237">
        <f>References!$C$51*'Staff Calcs '!I94</f>
        <v>69.726116516298021</v>
      </c>
      <c r="K94" s="237">
        <f>J94/References!$G$54</f>
        <v>71.096501584336096</v>
      </c>
      <c r="L94" s="237">
        <f t="shared" si="29"/>
        <v>0.11843976761514725</v>
      </c>
      <c r="M94" s="237">
        <f>'Rate Sheet'!C138</f>
        <v>35.409999999999997</v>
      </c>
      <c r="N94" s="237">
        <f t="shared" si="25"/>
        <v>35.528439767615147</v>
      </c>
      <c r="O94" s="237">
        <f t="shared" si="34"/>
        <v>21255.758701601626</v>
      </c>
      <c r="P94" s="237">
        <f t="shared" si="33"/>
        <v>21326.855203185965</v>
      </c>
      <c r="Q94" s="237">
        <f t="shared" si="30"/>
        <v>71.096501584339421</v>
      </c>
      <c r="R94" s="303">
        <f t="shared" si="26"/>
        <v>3.3253400033572689E-12</v>
      </c>
      <c r="S94" s="303"/>
      <c r="T94" s="351"/>
      <c r="U94" s="303"/>
    </row>
    <row r="95" spans="1:21" s="230" customFormat="1">
      <c r="A95" s="365"/>
      <c r="B95" s="231">
        <v>33</v>
      </c>
      <c r="C95" s="232" t="str">
        <f>'2180 (Reg.) - Price Out '!B108</f>
        <v>3 YD TEMP</v>
      </c>
      <c r="D95" s="233">
        <f>'2180 (Reg.) - Price Out '!I108</f>
        <v>0.91666666666666663</v>
      </c>
      <c r="E95" s="234"/>
      <c r="F95" s="235">
        <f>'2180 (Reg.) - Price Out '!K108</f>
        <v>11</v>
      </c>
      <c r="G95" s="235">
        <f>G75</f>
        <v>473</v>
      </c>
      <c r="H95" s="235">
        <f t="shared" si="32"/>
        <v>5203</v>
      </c>
      <c r="I95" s="236">
        <f t="shared" si="28"/>
        <v>4288.0945382004811</v>
      </c>
      <c r="J95" s="237">
        <f>References!$C$51*'Staff Calcs '!I95</f>
        <v>1.8653211241172301</v>
      </c>
      <c r="K95" s="237">
        <f>J95/References!$G$54</f>
        <v>1.9019818237704047</v>
      </c>
      <c r="L95" s="237">
        <f t="shared" si="29"/>
        <v>0.17290743852458224</v>
      </c>
      <c r="M95" s="237">
        <f>'Rate Sheet'!C139</f>
        <v>49.58</v>
      </c>
      <c r="N95" s="237">
        <f t="shared" si="25"/>
        <v>49.752907438524581</v>
      </c>
      <c r="O95" s="237">
        <f t="shared" si="34"/>
        <v>545.38</v>
      </c>
      <c r="P95" s="237">
        <f t="shared" si="33"/>
        <v>547.28198182377037</v>
      </c>
      <c r="Q95" s="237">
        <f t="shared" si="30"/>
        <v>1.9019818237703703</v>
      </c>
      <c r="R95" s="303">
        <f t="shared" si="26"/>
        <v>-3.4416913763379853E-14</v>
      </c>
      <c r="S95" s="303"/>
      <c r="T95" s="351"/>
      <c r="U95" s="303"/>
    </row>
    <row r="96" spans="1:21" s="230" customFormat="1">
      <c r="A96" s="365"/>
      <c r="B96" s="231">
        <v>33</v>
      </c>
      <c r="C96" s="232" t="str">
        <f>'2180 (Reg.) - Price Out '!B109</f>
        <v>4 YD TEMP 1</v>
      </c>
      <c r="D96" s="233">
        <f>'2180 (Reg.) - Price Out '!I109</f>
        <v>0.41666666666666669</v>
      </c>
      <c r="E96" s="234"/>
      <c r="F96" s="235">
        <f>'2180 (Reg.) - Price Out '!K109</f>
        <v>5</v>
      </c>
      <c r="G96" s="235">
        <f>G79</f>
        <v>613</v>
      </c>
      <c r="H96" s="235">
        <f t="shared" si="32"/>
        <v>3065</v>
      </c>
      <c r="I96" s="236">
        <f t="shared" si="28"/>
        <v>2526.0445434527151</v>
      </c>
      <c r="J96" s="237">
        <f>References!$C$51*'Staff Calcs '!I96</f>
        <v>1.0988293764019432</v>
      </c>
      <c r="K96" s="237">
        <f>J96/References!$G$54</f>
        <v>1.1204255794457603</v>
      </c>
      <c r="L96" s="237">
        <f t="shared" si="29"/>
        <v>0.22408511588915206</v>
      </c>
      <c r="M96" s="237">
        <f>'Rate Sheet'!C140</f>
        <v>63.88</v>
      </c>
      <c r="N96" s="237">
        <f t="shared" si="25"/>
        <v>64.104085115889148</v>
      </c>
      <c r="O96" s="237">
        <f t="shared" si="34"/>
        <v>319.40000000000003</v>
      </c>
      <c r="P96" s="237">
        <f t="shared" si="33"/>
        <v>320.52042557944571</v>
      </c>
      <c r="Q96" s="237">
        <f t="shared" si="30"/>
        <v>1.1204255794456799</v>
      </c>
      <c r="R96" s="303">
        <f t="shared" si="26"/>
        <v>-8.0380146982861334E-14</v>
      </c>
      <c r="S96" s="303"/>
      <c r="T96" s="351"/>
      <c r="U96" s="303"/>
    </row>
    <row r="97" spans="1:21" s="230" customFormat="1">
      <c r="A97" s="365"/>
      <c r="B97" s="231">
        <v>33</v>
      </c>
      <c r="C97" s="232" t="str">
        <f>'2180 (Reg.) - Price Out '!B110</f>
        <v>6 YD TEMP 1</v>
      </c>
      <c r="D97" s="233">
        <f>'2180 (Reg.) - Price Out '!I110</f>
        <v>1.1961139638086575</v>
      </c>
      <c r="E97" s="234"/>
      <c r="F97" s="235">
        <f>'2180 (Reg.) - Price Out '!K110</f>
        <v>14.353367565703891</v>
      </c>
      <c r="G97" s="235">
        <f>G82</f>
        <v>840</v>
      </c>
      <c r="H97" s="235">
        <f t="shared" ref="H97" si="35">F97*G97</f>
        <v>12056.828755191269</v>
      </c>
      <c r="I97" s="236">
        <f t="shared" si="28"/>
        <v>9936.7329489052827</v>
      </c>
      <c r="J97" s="237">
        <f>References!$C$51*'Staff Calcs '!I97</f>
        <v>4.3224788327738457</v>
      </c>
      <c r="K97" s="237">
        <f>J97/References!$G$54</f>
        <v>4.4074320862360459</v>
      </c>
      <c r="L97" s="237">
        <f t="shared" si="29"/>
        <v>0.30706606418741877</v>
      </c>
      <c r="M97" s="237">
        <f>'Rate Sheet'!C141</f>
        <v>89.06</v>
      </c>
      <c r="N97" s="237">
        <f t="shared" si="25"/>
        <v>89.367066064187426</v>
      </c>
      <c r="O97" s="237">
        <f t="shared" si="34"/>
        <v>1278.3109154015885</v>
      </c>
      <c r="P97" s="237">
        <f t="shared" si="33"/>
        <v>1282.7183474878248</v>
      </c>
      <c r="Q97" s="237">
        <f t="shared" ref="Q97" si="36">P97-O97</f>
        <v>4.4074320862362129</v>
      </c>
      <c r="R97" s="303">
        <f t="shared" si="26"/>
        <v>1.6697754290362354E-13</v>
      </c>
      <c r="S97" s="303"/>
      <c r="T97" s="351"/>
      <c r="U97" s="303"/>
    </row>
    <row r="98" spans="1:21" s="230" customFormat="1" ht="14.45" customHeight="1">
      <c r="A98" s="365"/>
      <c r="B98" s="231">
        <v>33</v>
      </c>
      <c r="C98" s="232" t="str">
        <f>'2180 (Reg.) - Price Out '!B111</f>
        <v>RENT 1.5 YD TEMP - COMM</v>
      </c>
      <c r="D98" s="233">
        <f>'2180 (Reg.) - Price Out '!I111</f>
        <v>330.59999999999997</v>
      </c>
      <c r="E98" s="234"/>
      <c r="F98" s="235">
        <f t="shared" si="31"/>
        <v>0</v>
      </c>
      <c r="G98" s="235"/>
      <c r="H98" s="235">
        <f>F98*G98</f>
        <v>0</v>
      </c>
      <c r="I98" s="236">
        <f t="shared" ref="I98:I129" si="37">$D$219*H98</f>
        <v>0</v>
      </c>
      <c r="J98" s="237">
        <f>References!$C$51*'Staff Calcs '!I98</f>
        <v>0</v>
      </c>
      <c r="K98" s="237">
        <f>J98/References!$G$54</f>
        <v>0</v>
      </c>
      <c r="L98" s="237"/>
      <c r="M98" s="237"/>
      <c r="N98" s="237">
        <f t="shared" si="25"/>
        <v>0</v>
      </c>
      <c r="O98" s="237">
        <f>F98*M98</f>
        <v>0</v>
      </c>
      <c r="P98" s="237"/>
      <c r="Q98" s="237">
        <f t="shared" ref="Q98:Q142" si="38">P98-O98</f>
        <v>0</v>
      </c>
      <c r="R98" s="303"/>
      <c r="S98" s="303"/>
    </row>
    <row r="99" spans="1:21" s="230" customFormat="1">
      <c r="A99" s="365"/>
      <c r="B99" s="231">
        <v>33</v>
      </c>
      <c r="C99" s="232" t="str">
        <f>'2180 (Reg.) - Price Out '!B112</f>
        <v>RENT 1 YD TEMP - COMM</v>
      </c>
      <c r="D99" s="233">
        <f>'2180 (Reg.) - Price Out '!I112</f>
        <v>89.083333333333329</v>
      </c>
      <c r="E99" s="234"/>
      <c r="F99" s="235">
        <f t="shared" si="31"/>
        <v>0</v>
      </c>
      <c r="G99" s="235"/>
      <c r="H99" s="235">
        <f t="shared" ref="H99:H142" si="39">F99*G99</f>
        <v>0</v>
      </c>
      <c r="I99" s="236">
        <f t="shared" si="37"/>
        <v>0</v>
      </c>
      <c r="J99" s="237">
        <f>References!$C$51*'Staff Calcs '!I99</f>
        <v>0</v>
      </c>
      <c r="K99" s="237">
        <f>J99/References!$G$54</f>
        <v>0</v>
      </c>
      <c r="L99" s="237"/>
      <c r="M99" s="237"/>
      <c r="N99" s="237">
        <f t="shared" si="25"/>
        <v>0</v>
      </c>
      <c r="O99" s="237">
        <f t="shared" ref="O99:O142" si="40">F99*M99</f>
        <v>0</v>
      </c>
      <c r="P99" s="237"/>
      <c r="Q99" s="237">
        <f t="shared" si="38"/>
        <v>0</v>
      </c>
      <c r="R99" s="303"/>
      <c r="S99" s="303"/>
    </row>
    <row r="100" spans="1:21" s="230" customFormat="1">
      <c r="A100" s="365"/>
      <c r="B100" s="231">
        <v>33</v>
      </c>
      <c r="C100" s="232" t="str">
        <f>'2180 (Reg.) - Price Out '!B113</f>
        <v>RENT 2 YD TEMP - COMM</v>
      </c>
      <c r="D100" s="233">
        <f>'2180 (Reg.) - Price Out '!I113</f>
        <v>843.31805555555559</v>
      </c>
      <c r="E100" s="234"/>
      <c r="F100" s="235">
        <f t="shared" si="31"/>
        <v>0</v>
      </c>
      <c r="G100" s="235"/>
      <c r="H100" s="235">
        <f t="shared" si="39"/>
        <v>0</v>
      </c>
      <c r="I100" s="236">
        <f t="shared" si="37"/>
        <v>0</v>
      </c>
      <c r="J100" s="237">
        <f>References!$C$51*'Staff Calcs '!I100</f>
        <v>0</v>
      </c>
      <c r="K100" s="237">
        <f>J100/References!$G$54</f>
        <v>0</v>
      </c>
      <c r="L100" s="237"/>
      <c r="M100" s="238"/>
      <c r="N100" s="237">
        <f t="shared" si="25"/>
        <v>0</v>
      </c>
      <c r="O100" s="237">
        <f t="shared" si="40"/>
        <v>0</v>
      </c>
      <c r="P100" s="237"/>
      <c r="Q100" s="237">
        <f t="shared" si="38"/>
        <v>0</v>
      </c>
      <c r="R100" s="303"/>
      <c r="S100" s="303"/>
    </row>
    <row r="101" spans="1:21" s="230" customFormat="1">
      <c r="A101" s="365"/>
      <c r="B101" s="231">
        <v>33</v>
      </c>
      <c r="C101" s="232" t="str">
        <f>'2180 (Reg.) - Price Out '!B114</f>
        <v>RENT 3 YD TEMP - COMM</v>
      </c>
      <c r="D101" s="233">
        <f>'2180 (Reg.) - Price Out '!I114</f>
        <v>11</v>
      </c>
      <c r="E101" s="234"/>
      <c r="F101" s="235">
        <f t="shared" si="31"/>
        <v>0</v>
      </c>
      <c r="G101" s="235"/>
      <c r="H101" s="235">
        <f t="shared" si="39"/>
        <v>0</v>
      </c>
      <c r="I101" s="236">
        <f t="shared" si="37"/>
        <v>0</v>
      </c>
      <c r="J101" s="237">
        <f>References!$C$51*'Staff Calcs '!I101</f>
        <v>0</v>
      </c>
      <c r="K101" s="237">
        <f>J101/References!$G$54</f>
        <v>0</v>
      </c>
      <c r="L101" s="237"/>
      <c r="M101" s="238"/>
      <c r="N101" s="237">
        <f t="shared" si="25"/>
        <v>0</v>
      </c>
      <c r="O101" s="237">
        <f t="shared" si="40"/>
        <v>0</v>
      </c>
      <c r="P101" s="237"/>
      <c r="Q101" s="237">
        <f t="shared" si="38"/>
        <v>0</v>
      </c>
      <c r="R101" s="303"/>
      <c r="S101" s="303"/>
    </row>
    <row r="102" spans="1:21" s="230" customFormat="1">
      <c r="A102" s="365"/>
      <c r="B102" s="231">
        <v>33</v>
      </c>
      <c r="C102" s="232" t="str">
        <f>'2180 (Reg.) - Price Out '!B115</f>
        <v>RENT 4 YD TEMP - COMM</v>
      </c>
      <c r="D102" s="233">
        <f>'2180 (Reg.) - Price Out '!I115</f>
        <v>0.87941176470588245</v>
      </c>
      <c r="E102" s="234"/>
      <c r="F102" s="235">
        <f t="shared" si="31"/>
        <v>0</v>
      </c>
      <c r="G102" s="235"/>
      <c r="H102" s="235">
        <f t="shared" si="39"/>
        <v>0</v>
      </c>
      <c r="I102" s="236">
        <f t="shared" si="37"/>
        <v>0</v>
      </c>
      <c r="J102" s="237">
        <f>References!$C$51*'Staff Calcs '!I102</f>
        <v>0</v>
      </c>
      <c r="K102" s="237">
        <f>J102/References!$G$54</f>
        <v>0</v>
      </c>
      <c r="L102" s="237"/>
      <c r="M102" s="238"/>
      <c r="N102" s="237">
        <f t="shared" si="25"/>
        <v>0</v>
      </c>
      <c r="O102" s="237">
        <f t="shared" si="40"/>
        <v>0</v>
      </c>
      <c r="P102" s="237"/>
      <c r="Q102" s="237">
        <f t="shared" si="38"/>
        <v>0</v>
      </c>
      <c r="R102" s="303"/>
      <c r="S102" s="303"/>
    </row>
    <row r="103" spans="1:21" s="230" customFormat="1">
      <c r="A103" s="365"/>
      <c r="B103" s="231">
        <v>33</v>
      </c>
      <c r="C103" s="232" t="str">
        <f>'2180 (Reg.) - Price Out '!B116</f>
        <v>RENT 6 YD TEMP - COMM</v>
      </c>
      <c r="D103" s="233">
        <f>'2180 (Reg.) - Price Out '!I116</f>
        <v>16.033333333333335</v>
      </c>
      <c r="E103" s="234"/>
      <c r="F103" s="235">
        <f t="shared" si="31"/>
        <v>0</v>
      </c>
      <c r="G103" s="235"/>
      <c r="H103" s="235">
        <f t="shared" si="39"/>
        <v>0</v>
      </c>
      <c r="I103" s="236">
        <f t="shared" si="37"/>
        <v>0</v>
      </c>
      <c r="J103" s="237">
        <f>References!$C$51*'Staff Calcs '!I103</f>
        <v>0</v>
      </c>
      <c r="K103" s="237">
        <f>J103/References!$G$54</f>
        <v>0</v>
      </c>
      <c r="L103" s="237"/>
      <c r="M103" s="238"/>
      <c r="N103" s="237">
        <f t="shared" si="25"/>
        <v>0</v>
      </c>
      <c r="O103" s="237">
        <f t="shared" si="40"/>
        <v>0</v>
      </c>
      <c r="P103" s="237"/>
      <c r="Q103" s="237">
        <f t="shared" si="38"/>
        <v>0</v>
      </c>
      <c r="R103" s="303"/>
      <c r="S103" s="303"/>
    </row>
    <row r="104" spans="1:21" s="230" customFormat="1">
      <c r="A104" s="365"/>
      <c r="B104" s="231">
        <v>34</v>
      </c>
      <c r="C104" s="304" t="str">
        <f>'2180 (Reg.) - Price Out '!B117</f>
        <v>20 GL 1X WK COMM 1</v>
      </c>
      <c r="D104" s="233">
        <f>'2180 (Reg.) - Price Out '!I117</f>
        <v>1.3610867659947414</v>
      </c>
      <c r="E104" s="234">
        <f>References!$B$7</f>
        <v>4.333333333333333</v>
      </c>
      <c r="F104" s="235">
        <f t="shared" si="31"/>
        <v>70.776511831726538</v>
      </c>
      <c r="G104" s="235">
        <f>References!B15</f>
        <v>20</v>
      </c>
      <c r="H104" s="235">
        <f t="shared" si="39"/>
        <v>1415.5302366345309</v>
      </c>
      <c r="I104" s="236">
        <f t="shared" si="37"/>
        <v>1166.620695054808</v>
      </c>
      <c r="J104" s="237">
        <f>References!$C$51*'Staff Calcs '!I104</f>
        <v>0.50748000234884716</v>
      </c>
      <c r="K104" s="237">
        <f>J104/References!$G$54</f>
        <v>0.51745392678767965</v>
      </c>
      <c r="L104" s="237">
        <f>(K104/F104*E104)</f>
        <v>3.1681419320924158E-2</v>
      </c>
      <c r="M104" s="237">
        <f>M3</f>
        <v>13.25</v>
      </c>
      <c r="N104" s="237">
        <f t="shared" si="25"/>
        <v>13.281681419320924</v>
      </c>
      <c r="O104" s="237">
        <f>D104*M104*12</f>
        <v>216.41279579316387</v>
      </c>
      <c r="P104" s="237">
        <f>D104*N104*12</f>
        <v>216.93024971995158</v>
      </c>
      <c r="Q104" s="237">
        <f t="shared" si="38"/>
        <v>0.51745392678770941</v>
      </c>
      <c r="R104" s="303">
        <f t="shared" ref="R104:R128" si="41">Q104-K104</f>
        <v>2.9753977059954195E-14</v>
      </c>
      <c r="S104" s="303"/>
      <c r="T104" s="351"/>
      <c r="U104" s="303"/>
    </row>
    <row r="105" spans="1:21" s="230" customFormat="1">
      <c r="A105" s="365"/>
      <c r="B105" s="231">
        <v>34</v>
      </c>
      <c r="C105" s="304" t="str">
        <f>'2180 (Reg.) - Price Out '!B118</f>
        <v>32 GL 1X WK NO RECY COMM</v>
      </c>
      <c r="D105" s="233">
        <f>'2180 (Reg.) - Price Out '!I118</f>
        <v>7.5806783639691249</v>
      </c>
      <c r="E105" s="234">
        <f>References!$B$7</f>
        <v>4.333333333333333</v>
      </c>
      <c r="F105" s="235">
        <f t="shared" si="31"/>
        <v>394.19527492639446</v>
      </c>
      <c r="G105" s="235">
        <f>References!$B$28</f>
        <v>29</v>
      </c>
      <c r="H105" s="235">
        <f t="shared" si="39"/>
        <v>11431.662972865439</v>
      </c>
      <c r="I105" s="236">
        <f t="shared" si="37"/>
        <v>9421.4975122992437</v>
      </c>
      <c r="J105" s="237">
        <f>References!$C$51*'Staff Calcs '!I105</f>
        <v>4.0983514178502167</v>
      </c>
      <c r="K105" s="237">
        <f>J105/References!$G$54</f>
        <v>4.1788997097557594</v>
      </c>
      <c r="L105" s="237">
        <f t="shared" ref="L105:L121" si="42">(K105/F105*E105)</f>
        <v>4.5938058015340032E-2</v>
      </c>
      <c r="M105" s="237">
        <f>'Rate Sheet'!$C$147</f>
        <v>16.78</v>
      </c>
      <c r="N105" s="237">
        <f t="shared" si="25"/>
        <v>16.825938058015343</v>
      </c>
      <c r="O105" s="237">
        <f t="shared" ref="O105:O121" si="43">D105*M105*12</f>
        <v>1526.445395368823</v>
      </c>
      <c r="P105" s="237">
        <f t="shared" ref="P105:P121" si="44">D105*N105*12</f>
        <v>1530.6242950785791</v>
      </c>
      <c r="Q105" s="237">
        <f t="shared" si="38"/>
        <v>4.1788997097560241</v>
      </c>
      <c r="R105" s="303">
        <f t="shared" si="41"/>
        <v>2.6467716907063732E-13</v>
      </c>
      <c r="S105" s="303"/>
      <c r="T105" s="351"/>
      <c r="U105" s="303"/>
    </row>
    <row r="106" spans="1:21" s="230" customFormat="1">
      <c r="A106" s="365"/>
      <c r="B106" s="231">
        <v>34</v>
      </c>
      <c r="C106" s="304" t="str">
        <f>'2180 (Reg.) - Price Out '!B119</f>
        <v>32 GL 1X WK W/RECY COMM 1</v>
      </c>
      <c r="D106" s="233">
        <f>'2180 (Reg.) - Price Out '!I119</f>
        <v>52.164141004217392</v>
      </c>
      <c r="E106" s="234">
        <f>References!$B$7</f>
        <v>4.333333333333333</v>
      </c>
      <c r="F106" s="235">
        <f t="shared" si="31"/>
        <v>2712.5353322193041</v>
      </c>
      <c r="G106" s="235">
        <f>References!$B$28</f>
        <v>29</v>
      </c>
      <c r="H106" s="235">
        <f t="shared" si="39"/>
        <v>78663.524634359812</v>
      </c>
      <c r="I106" s="236">
        <f t="shared" si="37"/>
        <v>64831.180153795372</v>
      </c>
      <c r="J106" s="237">
        <f>References!$C$51*'Staff Calcs '!I106</f>
        <v>28.201563366901301</v>
      </c>
      <c r="K106" s="237">
        <f>J106/References!$G$54</f>
        <v>28.755832029265392</v>
      </c>
      <c r="L106" s="237">
        <f t="shared" si="42"/>
        <v>4.5938058015340025E-2</v>
      </c>
      <c r="M106" s="237">
        <f>'Rate Sheet'!$C$147</f>
        <v>16.78</v>
      </c>
      <c r="N106" s="237">
        <f t="shared" si="25"/>
        <v>16.825938058015343</v>
      </c>
      <c r="O106" s="237">
        <f t="shared" si="43"/>
        <v>10503.771432609215</v>
      </c>
      <c r="P106" s="237">
        <f t="shared" si="44"/>
        <v>10532.527264638482</v>
      </c>
      <c r="Q106" s="237">
        <f t="shared" si="38"/>
        <v>28.755832029266458</v>
      </c>
      <c r="R106" s="303">
        <f t="shared" si="41"/>
        <v>1.0658141036401503E-12</v>
      </c>
      <c r="S106" s="303"/>
      <c r="T106" s="351"/>
      <c r="U106" s="303"/>
    </row>
    <row r="107" spans="1:21" s="230" customFormat="1">
      <c r="A107" s="365"/>
      <c r="B107" s="231">
        <v>34</v>
      </c>
      <c r="C107" s="304" t="str">
        <f>'2180 (Reg.) - Price Out '!B120</f>
        <v>32 GL 1X WK NO RECY COMM</v>
      </c>
      <c r="D107" s="233">
        <f>'2180 (Reg.) - Price Out '!I120</f>
        <v>9.297284239491761</v>
      </c>
      <c r="E107" s="234">
        <f>References!$B$7</f>
        <v>4.333333333333333</v>
      </c>
      <c r="F107" s="235">
        <f t="shared" si="31"/>
        <v>483.45878045357153</v>
      </c>
      <c r="G107" s="301">
        <f>G106*2</f>
        <v>58</v>
      </c>
      <c r="H107" s="235">
        <f t="shared" si="39"/>
        <v>28040.60926630715</v>
      </c>
      <c r="I107" s="236">
        <f t="shared" si="37"/>
        <v>23109.894953424082</v>
      </c>
      <c r="J107" s="237">
        <f>References!$C$51*'Staff Calcs '!I107</f>
        <v>10.052804304739587</v>
      </c>
      <c r="K107" s="237">
        <f>J107/References!$G$54</f>
        <v>10.250380386693097</v>
      </c>
      <c r="L107" s="237">
        <f t="shared" si="42"/>
        <v>9.1876116030680063E-2</v>
      </c>
      <c r="M107" s="237">
        <f>'Rate Sheet'!$C$144*References!$B$7*2</f>
        <v>26.95333333333333</v>
      </c>
      <c r="N107" s="237">
        <f t="shared" si="25"/>
        <v>27.045209449364009</v>
      </c>
      <c r="O107" s="237">
        <f t="shared" si="43"/>
        <v>3007.1136144212146</v>
      </c>
      <c r="P107" s="237">
        <f t="shared" si="44"/>
        <v>3017.3639948079076</v>
      </c>
      <c r="Q107" s="237">
        <f t="shared" si="38"/>
        <v>10.250380386692996</v>
      </c>
      <c r="R107" s="303">
        <f t="shared" si="41"/>
        <v>-1.0125233984581428E-13</v>
      </c>
      <c r="S107" s="303"/>
      <c r="T107" s="351"/>
      <c r="U107" s="303"/>
    </row>
    <row r="108" spans="1:21" s="230" customFormat="1">
      <c r="A108" s="365"/>
      <c r="B108" s="231">
        <v>34</v>
      </c>
      <c r="C108" s="304" t="str">
        <f>'2180 (Reg.) - Price Out '!B121</f>
        <v>32 GL 1X WK W/RECY COMM 2</v>
      </c>
      <c r="D108" s="233">
        <f>'2180 (Reg.) - Price Out '!I121</f>
        <v>1.5758469347777257</v>
      </c>
      <c r="E108" s="234">
        <f>References!$B$7</f>
        <v>4.333333333333333</v>
      </c>
      <c r="F108" s="235">
        <f t="shared" si="31"/>
        <v>81.944040608441725</v>
      </c>
      <c r="G108" s="301">
        <f>G106*2</f>
        <v>58</v>
      </c>
      <c r="H108" s="235">
        <f t="shared" si="39"/>
        <v>4752.7543552896204</v>
      </c>
      <c r="I108" s="236">
        <f t="shared" si="37"/>
        <v>3917.0209479773152</v>
      </c>
      <c r="J108" s="237">
        <f>References!$C$51*'Staff Calcs '!I108</f>
        <v>1.703904112370151</v>
      </c>
      <c r="K108" s="237">
        <f>J108/References!$G$54</f>
        <v>1.7373923499147581</v>
      </c>
      <c r="L108" s="237">
        <f t="shared" si="42"/>
        <v>9.1876116030680063E-2</v>
      </c>
      <c r="M108" s="237">
        <f>M107</f>
        <v>26.95333333333333</v>
      </c>
      <c r="N108" s="237">
        <f t="shared" si="25"/>
        <v>27.045209449364009</v>
      </c>
      <c r="O108" s="237">
        <f t="shared" si="43"/>
        <v>509.69193258450753</v>
      </c>
      <c r="P108" s="237">
        <f t="shared" si="44"/>
        <v>511.42932493442231</v>
      </c>
      <c r="Q108" s="237">
        <f t="shared" si="38"/>
        <v>1.737392349914785</v>
      </c>
      <c r="R108" s="303">
        <f t="shared" si="41"/>
        <v>2.6867397195928788E-14</v>
      </c>
      <c r="S108" s="303"/>
      <c r="T108" s="351"/>
      <c r="U108" s="303"/>
    </row>
    <row r="109" spans="1:21" s="230" customFormat="1">
      <c r="A109" s="365"/>
      <c r="B109" s="231">
        <v>34</v>
      </c>
      <c r="C109" s="304" t="str">
        <f>'2180 (Reg.) - Price Out '!B122</f>
        <v>32 GL 1X WK NO RECY COMM</v>
      </c>
      <c r="D109" s="233">
        <f>'2180 (Reg.) - Price Out '!I122</f>
        <v>0.3124575465290042</v>
      </c>
      <c r="E109" s="234">
        <f>References!$B$7</f>
        <v>4.333333333333333</v>
      </c>
      <c r="F109" s="235">
        <f t="shared" si="31"/>
        <v>16.247792419508219</v>
      </c>
      <c r="G109" s="301">
        <f>G106*3</f>
        <v>87</v>
      </c>
      <c r="H109" s="235">
        <f t="shared" si="39"/>
        <v>1413.557940497215</v>
      </c>
      <c r="I109" s="236">
        <f t="shared" si="37"/>
        <v>1164.9952112389062</v>
      </c>
      <c r="J109" s="237">
        <f>References!$C$51*'Staff Calcs '!I109</f>
        <v>0.50677291688892978</v>
      </c>
      <c r="K109" s="237">
        <f>J109/References!$G$54</f>
        <v>0.51673294439208728</v>
      </c>
      <c r="L109" s="237">
        <f t="shared" si="42"/>
        <v>0.13781417404602006</v>
      </c>
      <c r="M109" s="237">
        <f>'Rate Sheet'!$C$144*References!$B$7*3</f>
        <v>40.429999999999993</v>
      </c>
      <c r="N109" s="237">
        <f t="shared" si="25"/>
        <v>40.567814174046013</v>
      </c>
      <c r="O109" s="237">
        <f t="shared" si="43"/>
        <v>151.59190327401166</v>
      </c>
      <c r="P109" s="237">
        <f t="shared" si="44"/>
        <v>152.10863621840375</v>
      </c>
      <c r="Q109" s="237">
        <f t="shared" si="38"/>
        <v>0.51673294439208917</v>
      </c>
      <c r="R109" s="303">
        <f t="shared" si="41"/>
        <v>1.8873791418627661E-15</v>
      </c>
      <c r="S109" s="303"/>
      <c r="T109" s="351"/>
      <c r="U109" s="303"/>
    </row>
    <row r="110" spans="1:21" s="230" customFormat="1">
      <c r="A110" s="365"/>
      <c r="B110" s="231">
        <v>34</v>
      </c>
      <c r="C110" s="304" t="str">
        <f>'2180 (Reg.) - Price Out '!B123</f>
        <v>32 GL 1X WK W/RECY COMM 3</v>
      </c>
      <c r="D110" s="233">
        <f>'2180 (Reg.) - Price Out '!I123</f>
        <v>0.8163975665754909</v>
      </c>
      <c r="E110" s="234">
        <f>References!$B$7</f>
        <v>4.333333333333333</v>
      </c>
      <c r="F110" s="235">
        <f t="shared" si="31"/>
        <v>42.452673461925528</v>
      </c>
      <c r="G110" s="337">
        <f>G106*3</f>
        <v>87</v>
      </c>
      <c r="H110" s="235">
        <f t="shared" si="39"/>
        <v>3693.382591187521</v>
      </c>
      <c r="I110" s="236">
        <f t="shared" si="37"/>
        <v>3043.9311391035844</v>
      </c>
      <c r="J110" s="237">
        <f>References!$C$51*'Staff Calcs '!I110</f>
        <v>1.3241100455100738</v>
      </c>
      <c r="K110" s="237">
        <f>J110/References!$G$54</f>
        <v>1.3501338759693837</v>
      </c>
      <c r="L110" s="237">
        <f t="shared" si="42"/>
        <v>0.13781417404602006</v>
      </c>
      <c r="M110" s="237">
        <f>M109</f>
        <v>40.429999999999993</v>
      </c>
      <c r="N110" s="237">
        <f t="shared" si="25"/>
        <v>40.567814174046013</v>
      </c>
      <c r="O110" s="237">
        <f t="shared" si="43"/>
        <v>396.08344339976509</v>
      </c>
      <c r="P110" s="237">
        <f t="shared" si="44"/>
        <v>397.43357727573448</v>
      </c>
      <c r="Q110" s="237">
        <f t="shared" si="38"/>
        <v>1.3501338759693908</v>
      </c>
      <c r="R110" s="303">
        <f t="shared" si="41"/>
        <v>7.1054273576010019E-15</v>
      </c>
      <c r="S110" s="303"/>
      <c r="T110" s="351"/>
      <c r="U110" s="303"/>
    </row>
    <row r="111" spans="1:21" s="230" customFormat="1">
      <c r="A111" s="365"/>
      <c r="B111" s="231">
        <v>34</v>
      </c>
      <c r="C111" s="304" t="str">
        <f>'2180 (Reg.) - Price Out '!B124</f>
        <v>32 GL 1X WK W/RECY COMM 4</v>
      </c>
      <c r="D111" s="233">
        <f>'2180 (Reg.) - Price Out '!I124</f>
        <v>4.840296660067863</v>
      </c>
      <c r="E111" s="234">
        <f>References!$B$7</f>
        <v>4.333333333333333</v>
      </c>
      <c r="F111" s="235">
        <f t="shared" si="31"/>
        <v>251.69542632352886</v>
      </c>
      <c r="G111" s="301">
        <f>G106*4</f>
        <v>116</v>
      </c>
      <c r="H111" s="235">
        <f t="shared" si="39"/>
        <v>29196.66945352935</v>
      </c>
      <c r="I111" s="236">
        <f t="shared" si="37"/>
        <v>24062.671308345962</v>
      </c>
      <c r="J111" s="237">
        <f>References!$C$51*'Staff Calcs '!I111</f>
        <v>10.46726201913061</v>
      </c>
      <c r="K111" s="237">
        <f>J111/References!$G$54</f>
        <v>10.672983781519397</v>
      </c>
      <c r="L111" s="237">
        <f t="shared" si="42"/>
        <v>0.18375223206136013</v>
      </c>
      <c r="M111" s="237">
        <f>'Rate Sheet'!$C$144*References!$B$7*4</f>
        <v>53.906666666666659</v>
      </c>
      <c r="N111" s="237">
        <f t="shared" si="25"/>
        <v>54.090418898728018</v>
      </c>
      <c r="O111" s="237">
        <f t="shared" si="43"/>
        <v>3131.0911034646988</v>
      </c>
      <c r="P111" s="237">
        <f t="shared" si="44"/>
        <v>3141.764087246218</v>
      </c>
      <c r="Q111" s="237">
        <f t="shared" si="38"/>
        <v>10.672983781519179</v>
      </c>
      <c r="R111" s="303">
        <f t="shared" si="41"/>
        <v>-2.1849189124623081E-13</v>
      </c>
      <c r="S111" s="303"/>
      <c r="T111" s="351"/>
      <c r="U111" s="303"/>
    </row>
    <row r="112" spans="1:21" s="230" customFormat="1">
      <c r="A112" s="365"/>
      <c r="B112" s="231">
        <v>34</v>
      </c>
      <c r="C112" s="304" t="str">
        <f>'2180 (Reg.) - Price Out '!B125</f>
        <v>32 GL 1X WK W/RECY COMM 5</v>
      </c>
      <c r="D112" s="233">
        <f>'2180 (Reg.) - Price Out '!I125</f>
        <v>0.49985096930778794</v>
      </c>
      <c r="E112" s="234">
        <f>References!$B$7</f>
        <v>4.333333333333333</v>
      </c>
      <c r="F112" s="235">
        <f t="shared" si="31"/>
        <v>25.99225040400497</v>
      </c>
      <c r="G112" s="301">
        <f>G106*5</f>
        <v>145</v>
      </c>
      <c r="H112" s="235">
        <f t="shared" si="39"/>
        <v>3768.8763085807209</v>
      </c>
      <c r="I112" s="236">
        <f t="shared" si="37"/>
        <v>3106.1498969783165</v>
      </c>
      <c r="J112" s="237">
        <f>References!$C$51*'Staff Calcs '!I112</f>
        <v>1.3511752051855828</v>
      </c>
      <c r="K112" s="237">
        <f>J112/References!$G$54</f>
        <v>1.3777309696251068</v>
      </c>
      <c r="L112" s="237">
        <f t="shared" si="42"/>
        <v>0.22969029007670019</v>
      </c>
      <c r="M112" s="237">
        <f>'Rate Sheet'!$C$144*References!$B$7*5</f>
        <v>67.383333333333326</v>
      </c>
      <c r="N112" s="237">
        <f t="shared" si="25"/>
        <v>67.613023623410029</v>
      </c>
      <c r="O112" s="237">
        <f t="shared" si="43"/>
        <v>404.17949378227729</v>
      </c>
      <c r="P112" s="237">
        <f t="shared" si="44"/>
        <v>405.55722475190248</v>
      </c>
      <c r="Q112" s="237">
        <f t="shared" si="38"/>
        <v>1.3777309696251905</v>
      </c>
      <c r="R112" s="303">
        <f t="shared" si="41"/>
        <v>8.3710816056736803E-14</v>
      </c>
      <c r="S112" s="303"/>
      <c r="T112" s="351"/>
      <c r="U112" s="303"/>
    </row>
    <row r="113" spans="1:21" s="230" customFormat="1">
      <c r="A113" s="365"/>
      <c r="B113" s="231">
        <v>34</v>
      </c>
      <c r="C113" s="304" t="str">
        <f>'2180 (Reg.) - Price Out '!B126</f>
        <v>65 GL 1X WK NO RECY COMM</v>
      </c>
      <c r="D113" s="233">
        <f>'2180 (Reg.) - Price Out '!I126</f>
        <v>34.345711534544776</v>
      </c>
      <c r="E113" s="234">
        <f>References!$B$7</f>
        <v>4.333333333333333</v>
      </c>
      <c r="F113" s="235">
        <f t="shared" si="31"/>
        <v>1785.9769997963281</v>
      </c>
      <c r="G113" s="235">
        <f>References!$B$23</f>
        <v>47</v>
      </c>
      <c r="H113" s="235">
        <f t="shared" si="39"/>
        <v>83940.918990427424</v>
      </c>
      <c r="I113" s="236">
        <f t="shared" si="37"/>
        <v>69180.587402341131</v>
      </c>
      <c r="J113" s="237">
        <f>References!$C$51*'Staff Calcs '!I113</f>
        <v>30.093555520018725</v>
      </c>
      <c r="K113" s="237">
        <f>J113/References!$G$54</f>
        <v>30.685009069839889</v>
      </c>
      <c r="L113" s="237">
        <f t="shared" si="42"/>
        <v>7.4451335404171773E-2</v>
      </c>
      <c r="M113" s="237">
        <f>'Rate Sheet'!C153*References!B7</f>
        <v>27.516666666666662</v>
      </c>
      <c r="N113" s="237">
        <f>L113+M113</f>
        <v>27.591118002070832</v>
      </c>
      <c r="O113" s="237">
        <f t="shared" si="43"/>
        <v>11340.953948706683</v>
      </c>
      <c r="P113" s="237">
        <f t="shared" si="44"/>
        <v>11371.638957776522</v>
      </c>
      <c r="Q113" s="237">
        <f t="shared" si="38"/>
        <v>30.685009069838998</v>
      </c>
      <c r="R113" s="303">
        <f t="shared" si="41"/>
        <v>-8.9173113337892573E-13</v>
      </c>
      <c r="S113" s="303"/>
      <c r="T113" s="351"/>
      <c r="U113" s="303"/>
    </row>
    <row r="114" spans="1:21" s="230" customFormat="1">
      <c r="A114" s="365"/>
      <c r="B114" s="231">
        <v>34</v>
      </c>
      <c r="C114" s="304" t="str">
        <f>'2180 (Reg.) - Price Out '!B127</f>
        <v>65 GL 1X WK W/RECY COMM 1</v>
      </c>
      <c r="D114" s="233">
        <f>'2180 (Reg.) - Price Out '!I127</f>
        <v>438.00540818226574</v>
      </c>
      <c r="E114" s="234">
        <f>References!$B$7</f>
        <v>4.333333333333333</v>
      </c>
      <c r="F114" s="235">
        <f t="shared" si="31"/>
        <v>22776.281225477818</v>
      </c>
      <c r="G114" s="235">
        <f>References!$B$23</f>
        <v>47</v>
      </c>
      <c r="H114" s="235">
        <f t="shared" si="39"/>
        <v>1070485.2175974573</v>
      </c>
      <c r="I114" s="236">
        <f t="shared" si="37"/>
        <v>882249.05147107644</v>
      </c>
      <c r="J114" s="237">
        <f>References!$C$51*'Staff Calcs '!I114</f>
        <v>383.77833738992251</v>
      </c>
      <c r="K114" s="237">
        <f>J114/References!$G$54</f>
        <v>391.32105064102836</v>
      </c>
      <c r="L114" s="237">
        <f t="shared" si="42"/>
        <v>7.4451335404171773E-2</v>
      </c>
      <c r="M114" s="237">
        <f>M113</f>
        <v>27.516666666666662</v>
      </c>
      <c r="N114" s="237">
        <f t="shared" si="25"/>
        <v>27.591118002070832</v>
      </c>
      <c r="O114" s="237">
        <f>D114*M114*12</f>
        <v>144629.38578178413</v>
      </c>
      <c r="P114" s="237">
        <f t="shared" si="44"/>
        <v>145020.70683242514</v>
      </c>
      <c r="Q114" s="237">
        <f t="shared" si="38"/>
        <v>391.32105064101052</v>
      </c>
      <c r="R114" s="303">
        <f t="shared" si="41"/>
        <v>-1.7848833522293717E-11</v>
      </c>
      <c r="S114" s="303"/>
      <c r="T114" s="351"/>
      <c r="U114" s="303"/>
    </row>
    <row r="115" spans="1:21" s="230" customFormat="1">
      <c r="A115" s="365"/>
      <c r="B115" s="231">
        <v>34</v>
      </c>
      <c r="C115" s="304" t="str">
        <f>'2180 (Reg.) - Price Out '!B128</f>
        <v>65 GL 1X WK NO REC COMM 2</v>
      </c>
      <c r="D115" s="233">
        <f>'2180 (Reg.) - Price Out '!I128</f>
        <v>5.2092244083262046E-2</v>
      </c>
      <c r="E115" s="234">
        <f>References!$B$7</f>
        <v>4.333333333333333</v>
      </c>
      <c r="F115" s="235">
        <f t="shared" si="31"/>
        <v>2.7087966923296261</v>
      </c>
      <c r="G115" s="235">
        <f>G114*2</f>
        <v>94</v>
      </c>
      <c r="H115" s="235">
        <f t="shared" si="39"/>
        <v>254.62688907898485</v>
      </c>
      <c r="I115" s="236">
        <f t="shared" si="37"/>
        <v>209.85281036682196</v>
      </c>
      <c r="J115" s="237">
        <f>References!$C$51*'Staff Calcs '!I115</f>
        <v>9.1285972509568561E-2</v>
      </c>
      <c r="K115" s="237">
        <f>J115/References!$G$54</f>
        <v>9.3080091268774187E-2</v>
      </c>
      <c r="L115" s="237">
        <f t="shared" si="42"/>
        <v>0.14890267080834355</v>
      </c>
      <c r="M115" s="237">
        <f>'Rate Sheet'!C153*References!B7*2</f>
        <v>55.033333333333324</v>
      </c>
      <c r="N115" s="237">
        <f t="shared" si="25"/>
        <v>55.182236004141664</v>
      </c>
      <c r="O115" s="237">
        <f t="shared" si="43"/>
        <v>34.401717992586249</v>
      </c>
      <c r="P115" s="237">
        <f t="shared" si="44"/>
        <v>34.494798083855024</v>
      </c>
      <c r="Q115" s="237">
        <f t="shared" si="38"/>
        <v>9.3080091268774368E-2</v>
      </c>
      <c r="R115" s="303">
        <f t="shared" si="41"/>
        <v>1.8041124150158794E-16</v>
      </c>
      <c r="S115" s="303"/>
      <c r="T115" s="351"/>
      <c r="U115" s="303"/>
    </row>
    <row r="116" spans="1:21" s="230" customFormat="1">
      <c r="A116" s="365"/>
      <c r="B116" s="231">
        <v>34</v>
      </c>
      <c r="C116" s="304" t="str">
        <f>'2180 (Reg.) - Price Out '!B129</f>
        <v>65 GL EOW NO RECY COMM 1</v>
      </c>
      <c r="D116" s="233">
        <f>'2180 (Reg.) - Price Out '!I129</f>
        <v>5.5416921197312163</v>
      </c>
      <c r="E116" s="234">
        <f>References!$B$8</f>
        <v>2.1666666666666665</v>
      </c>
      <c r="F116" s="235">
        <f t="shared" si="31"/>
        <v>144.08399511301161</v>
      </c>
      <c r="G116" s="235">
        <f>References!$B$23</f>
        <v>47</v>
      </c>
      <c r="H116" s="235">
        <f t="shared" si="39"/>
        <v>6771.9477703115454</v>
      </c>
      <c r="I116" s="236">
        <f t="shared" si="37"/>
        <v>5581.155534663053</v>
      </c>
      <c r="J116" s="237">
        <f>References!$C$51*'Staff Calcs '!I116</f>
        <v>2.427802657578455</v>
      </c>
      <c r="K116" s="237">
        <f>J116/References!$G$54</f>
        <v>2.4755182722765863</v>
      </c>
      <c r="L116" s="237">
        <f t="shared" si="42"/>
        <v>3.7225667702085886E-2</v>
      </c>
      <c r="M116" s="237">
        <f>'Rate Sheet'!$C$154</f>
        <v>19.25</v>
      </c>
      <c r="N116" s="237">
        <f>L116+M116</f>
        <v>19.287225667702085</v>
      </c>
      <c r="O116" s="237">
        <f t="shared" si="43"/>
        <v>1280.130879657911</v>
      </c>
      <c r="P116" s="237">
        <f t="shared" si="44"/>
        <v>1282.6063979301875</v>
      </c>
      <c r="Q116" s="237">
        <f t="shared" si="38"/>
        <v>2.4755182722765312</v>
      </c>
      <c r="R116" s="303">
        <f t="shared" si="41"/>
        <v>-5.5067062021407764E-14</v>
      </c>
      <c r="S116" s="303"/>
      <c r="T116" s="351"/>
      <c r="U116" s="303"/>
    </row>
    <row r="117" spans="1:21" s="230" customFormat="1">
      <c r="A117" s="365"/>
      <c r="B117" s="231">
        <v>34</v>
      </c>
      <c r="C117" s="304" t="str">
        <f>'2180 (Reg.) - Price Out '!B130</f>
        <v>65 GL EOW W/RECY COMM 1</v>
      </c>
      <c r="D117" s="233">
        <f>'2180 (Reg.) - Price Out '!I130</f>
        <v>126.16722663408673</v>
      </c>
      <c r="E117" s="234">
        <f>References!$B$8</f>
        <v>2.1666666666666665</v>
      </c>
      <c r="F117" s="235">
        <f t="shared" si="31"/>
        <v>3280.3478924862548</v>
      </c>
      <c r="G117" s="235">
        <f>References!$B$23</f>
        <v>47</v>
      </c>
      <c r="H117" s="239">
        <f t="shared" si="39"/>
        <v>154176.35094685399</v>
      </c>
      <c r="I117" s="236">
        <f t="shared" si="37"/>
        <v>127065.68679894006</v>
      </c>
      <c r="J117" s="237">
        <f>References!$C$51*'Staff Calcs '!I117</f>
        <v>55.273573757539538</v>
      </c>
      <c r="K117" s="237">
        <f>J117/References!$G$54</f>
        <v>56.35991104289127</v>
      </c>
      <c r="L117" s="237">
        <f t="shared" si="42"/>
        <v>3.7225667702085886E-2</v>
      </c>
      <c r="M117" s="237">
        <f>'Rate Sheet'!$C$154</f>
        <v>19.25</v>
      </c>
      <c r="N117" s="237">
        <f t="shared" si="25"/>
        <v>19.287225667702085</v>
      </c>
      <c r="O117" s="237">
        <f t="shared" si="43"/>
        <v>29144.629352474036</v>
      </c>
      <c r="P117" s="237">
        <f t="shared" si="44"/>
        <v>29200.989263516924</v>
      </c>
      <c r="Q117" s="237">
        <f t="shared" si="38"/>
        <v>56.359911042887688</v>
      </c>
      <c r="R117" s="303">
        <f t="shared" si="41"/>
        <v>-3.5811353882309049E-12</v>
      </c>
      <c r="S117" s="303"/>
      <c r="T117" s="351"/>
      <c r="U117" s="303"/>
    </row>
    <row r="118" spans="1:21" s="230" customFormat="1">
      <c r="A118" s="365"/>
      <c r="B118" s="231">
        <v>34</v>
      </c>
      <c r="C118" s="304" t="str">
        <f>'2180 (Reg.) - Price Out '!B131</f>
        <v>95 GL 1X WK NO RECY COMM</v>
      </c>
      <c r="D118" s="233">
        <f>'2180 (Reg.) - Price Out '!I131</f>
        <v>39.304775634009765</v>
      </c>
      <c r="E118" s="234">
        <f>References!$B$7</f>
        <v>4.333333333333333</v>
      </c>
      <c r="F118" s="235">
        <f t="shared" si="31"/>
        <v>2043.8483329685075</v>
      </c>
      <c r="G118" s="239">
        <f>References!$B$24</f>
        <v>68</v>
      </c>
      <c r="H118" s="239">
        <f t="shared" si="39"/>
        <v>138981.68664185851</v>
      </c>
      <c r="I118" s="236">
        <f t="shared" si="37"/>
        <v>114542.8812990283</v>
      </c>
      <c r="J118" s="237">
        <f>References!$C$51*'Staff Calcs '!I118</f>
        <v>49.826153365077865</v>
      </c>
      <c r="K118" s="237">
        <f>J118/References!$G$54</f>
        <v>50.805427989576962</v>
      </c>
      <c r="L118" s="237">
        <f t="shared" si="42"/>
        <v>0.10771682569114213</v>
      </c>
      <c r="M118" s="237">
        <f>'Rate Sheet'!C156*References!B7</f>
        <v>34.839999999999996</v>
      </c>
      <c r="N118" s="237">
        <f t="shared" si="25"/>
        <v>34.947716825691138</v>
      </c>
      <c r="O118" s="237">
        <f t="shared" si="43"/>
        <v>16432.5405970668</v>
      </c>
      <c r="P118" s="237">
        <f t="shared" si="44"/>
        <v>16483.346025056377</v>
      </c>
      <c r="Q118" s="237">
        <f t="shared" si="38"/>
        <v>50.805427989576856</v>
      </c>
      <c r="R118" s="303">
        <f t="shared" si="41"/>
        <v>-1.0658141036401503E-13</v>
      </c>
      <c r="S118" s="303"/>
      <c r="T118" s="351"/>
      <c r="U118" s="303"/>
    </row>
    <row r="119" spans="1:21" s="230" customFormat="1">
      <c r="A119" s="365"/>
      <c r="B119" s="231">
        <v>34</v>
      </c>
      <c r="C119" s="304" t="str">
        <f>'2180 (Reg.) - Price Out '!B132</f>
        <v>95 GL 1X WK W/RECY COMM 1</v>
      </c>
      <c r="D119" s="233">
        <f>'2180 (Reg.) - Price Out '!I132</f>
        <v>185.15988184976209</v>
      </c>
      <c r="E119" s="234">
        <f>References!$B$7</f>
        <v>4.333333333333333</v>
      </c>
      <c r="F119" s="235">
        <f t="shared" si="31"/>
        <v>9628.3138561876276</v>
      </c>
      <c r="G119" s="239">
        <f>References!$B$24</f>
        <v>68</v>
      </c>
      <c r="H119" s="239">
        <f t="shared" si="39"/>
        <v>654725.34222075867</v>
      </c>
      <c r="I119" s="236">
        <f t="shared" si="37"/>
        <v>539597.18700716435</v>
      </c>
      <c r="J119" s="237">
        <f>References!$C$51*'Staff Calcs '!I119</f>
        <v>234.72477634811909</v>
      </c>
      <c r="K119" s="237">
        <f>J119/References!$G$54</f>
        <v>239.33801661843953</v>
      </c>
      <c r="L119" s="237">
        <f t="shared" si="42"/>
        <v>0.10771682569114213</v>
      </c>
      <c r="M119" s="237">
        <f>M118</f>
        <v>34.839999999999996</v>
      </c>
      <c r="N119" s="237">
        <f t="shared" si="25"/>
        <v>34.947716825691138</v>
      </c>
      <c r="O119" s="237">
        <f t="shared" si="43"/>
        <v>77411.643403748516</v>
      </c>
      <c r="P119" s="237">
        <f t="shared" si="44"/>
        <v>77650.981420366967</v>
      </c>
      <c r="Q119" s="237">
        <f t="shared" si="38"/>
        <v>239.33801661845064</v>
      </c>
      <c r="R119" s="303">
        <f t="shared" si="41"/>
        <v>1.1112888387287967E-11</v>
      </c>
      <c r="S119" s="303"/>
      <c r="T119" s="351"/>
      <c r="U119" s="303"/>
    </row>
    <row r="120" spans="1:21" s="230" customFormat="1">
      <c r="A120" s="365"/>
      <c r="B120" s="231">
        <v>34</v>
      </c>
      <c r="C120" s="304" t="str">
        <f>'2180 (Reg.) - Price Out '!B133</f>
        <v>95 GL EOW NO RECY COMM 1</v>
      </c>
      <c r="D120" s="233">
        <f>'2180 (Reg.) - Price Out '!I133</f>
        <v>3.7541867566698812</v>
      </c>
      <c r="E120" s="234">
        <f>References!$B$8</f>
        <v>2.1666666666666665</v>
      </c>
      <c r="F120" s="235">
        <f t="shared" si="31"/>
        <v>97.608855673416912</v>
      </c>
      <c r="G120" s="239">
        <f>References!$B$24</f>
        <v>68</v>
      </c>
      <c r="H120" s="239">
        <f t="shared" si="39"/>
        <v>6637.4021857923499</v>
      </c>
      <c r="I120" s="236">
        <f t="shared" si="37"/>
        <v>5470.268702813014</v>
      </c>
      <c r="J120" s="237">
        <f>References!$C$51*'Staff Calcs '!I120</f>
        <v>2.3795668857236874</v>
      </c>
      <c r="K120" s="237">
        <f>J120/References!$G$54</f>
        <v>2.4263344828812232</v>
      </c>
      <c r="L120" s="237">
        <f t="shared" si="42"/>
        <v>5.3858412845571073E-2</v>
      </c>
      <c r="M120" s="237">
        <f>'Rate Sheet'!C157</f>
        <v>24.41</v>
      </c>
      <c r="N120" s="237">
        <f t="shared" si="25"/>
        <v>24.463858412845571</v>
      </c>
      <c r="O120" s="237">
        <f t="shared" si="43"/>
        <v>1099.6763847637417</v>
      </c>
      <c r="P120" s="237">
        <f t="shared" si="44"/>
        <v>1102.1027192466229</v>
      </c>
      <c r="Q120" s="237">
        <f t="shared" si="38"/>
        <v>2.4263344828812023</v>
      </c>
      <c r="R120" s="303">
        <f t="shared" si="41"/>
        <v>-2.0872192862952943E-14</v>
      </c>
      <c r="S120" s="303"/>
      <c r="T120" s="351"/>
      <c r="U120" s="303"/>
    </row>
    <row r="121" spans="1:21" s="230" customFormat="1">
      <c r="A121" s="365"/>
      <c r="B121" s="231">
        <v>34</v>
      </c>
      <c r="C121" s="304" t="str">
        <f>'2180 (Reg.) - Price Out '!B134</f>
        <v>95 GL EOW W/RECY COMM 1</v>
      </c>
      <c r="D121" s="233">
        <f>'2180 (Reg.) - Price Out '!I134</f>
        <v>14.145853423336547</v>
      </c>
      <c r="E121" s="234">
        <f>References!$B$8</f>
        <v>2.1666666666666665</v>
      </c>
      <c r="F121" s="235">
        <f t="shared" si="31"/>
        <v>367.79218900675016</v>
      </c>
      <c r="G121" s="239">
        <f>References!$B$24</f>
        <v>68</v>
      </c>
      <c r="H121" s="239">
        <f t="shared" si="39"/>
        <v>25009.868852459011</v>
      </c>
      <c r="I121" s="236">
        <f t="shared" si="37"/>
        <v>20612.08572503168</v>
      </c>
      <c r="J121" s="237">
        <f>References!$C$51*'Staff Calcs '!I121</f>
        <v>8.9662572903888798</v>
      </c>
      <c r="K121" s="237">
        <f>J121/References!$G$54</f>
        <v>9.1424785647239339</v>
      </c>
      <c r="L121" s="237">
        <f t="shared" si="42"/>
        <v>5.3858412845571073E-2</v>
      </c>
      <c r="M121" s="237">
        <f>M120</f>
        <v>24.41</v>
      </c>
      <c r="N121" s="237">
        <f t="shared" si="25"/>
        <v>24.463858412845571</v>
      </c>
      <c r="O121" s="237">
        <f t="shared" si="43"/>
        <v>4143.6033847637409</v>
      </c>
      <c r="P121" s="237">
        <f t="shared" si="44"/>
        <v>4152.745863328465</v>
      </c>
      <c r="Q121" s="237">
        <f t="shared" si="38"/>
        <v>9.1424785647241151</v>
      </c>
      <c r="R121" s="303">
        <f t="shared" si="41"/>
        <v>1.8118839761882555E-13</v>
      </c>
      <c r="S121" s="303"/>
      <c r="T121" s="351"/>
      <c r="U121" s="303"/>
    </row>
    <row r="122" spans="1:21" s="230" customFormat="1">
      <c r="A122" s="365"/>
      <c r="B122" s="231">
        <v>34</v>
      </c>
      <c r="C122" s="232" t="str">
        <f>'2180 (Reg.) - Price Out '!B135</f>
        <v>CAN COUNT 65 GL - COMM</v>
      </c>
      <c r="D122" s="233">
        <f>'2180 (Reg.) - Price Out '!I135</f>
        <v>313.75673400673395</v>
      </c>
      <c r="E122" s="234">
        <v>1</v>
      </c>
      <c r="F122" s="235">
        <f>'2180 (Reg.) - Price Out '!K135</f>
        <v>3765.0808080808074</v>
      </c>
      <c r="G122" s="239">
        <f>G113</f>
        <v>47</v>
      </c>
      <c r="H122" s="239">
        <f t="shared" si="39"/>
        <v>176958.79797979794</v>
      </c>
      <c r="I122" s="236">
        <f t="shared" si="37"/>
        <v>145842.02481331807</v>
      </c>
      <c r="J122" s="237">
        <f>References!$C$51*'Staff Calcs '!I122</f>
        <v>63.441280793794064</v>
      </c>
      <c r="K122" s="237">
        <f>J122/References!$G$54</f>
        <v>64.6881447845156</v>
      </c>
      <c r="L122" s="237">
        <f>(K122/F122)</f>
        <v>1.7181077400962717E-2</v>
      </c>
      <c r="M122" s="237">
        <f>'Rate Sheet'!C153</f>
        <v>6.35</v>
      </c>
      <c r="N122" s="237">
        <f t="shared" si="25"/>
        <v>6.3671810774009625</v>
      </c>
      <c r="O122" s="237">
        <f t="shared" si="40"/>
        <v>23908.263131313124</v>
      </c>
      <c r="P122" s="237">
        <f>F122*N122</f>
        <v>23972.951276097643</v>
      </c>
      <c r="Q122" s="237">
        <f t="shared" si="38"/>
        <v>64.688144784518954</v>
      </c>
      <c r="R122" s="303">
        <f t="shared" si="41"/>
        <v>3.3537617127876729E-12</v>
      </c>
      <c r="S122" s="303"/>
      <c r="T122" s="351"/>
      <c r="U122" s="303"/>
    </row>
    <row r="123" spans="1:21" s="230" customFormat="1">
      <c r="A123" s="365"/>
      <c r="B123" s="231">
        <v>34</v>
      </c>
      <c r="C123" s="232" t="str">
        <f>'2180 (Reg.) - Price Out '!B136</f>
        <v>CAN COUNT 95 GL - COMM</v>
      </c>
      <c r="D123" s="233">
        <f>'2180 (Reg.) - Price Out '!I136</f>
        <v>666.5964079869342</v>
      </c>
      <c r="E123" s="234">
        <v>1</v>
      </c>
      <c r="F123" s="235">
        <f>'2180 (Reg.) - Price Out '!K136</f>
        <v>7999.1568958432108</v>
      </c>
      <c r="G123" s="239">
        <f>G119</f>
        <v>68</v>
      </c>
      <c r="H123" s="239">
        <f t="shared" si="39"/>
        <v>543942.66891733836</v>
      </c>
      <c r="I123" s="236">
        <f t="shared" si="37"/>
        <v>448294.75065897201</v>
      </c>
      <c r="J123" s="237">
        <f>References!$C$51*'Staff Calcs '!I123</f>
        <v>195.008216536655</v>
      </c>
      <c r="K123" s="237">
        <f>J123/References!$G$54</f>
        <v>198.84087439053252</v>
      </c>
      <c r="L123" s="237">
        <f t="shared" ref="L123:L124" si="45">(K123/F123)</f>
        <v>2.4857729005648189E-2</v>
      </c>
      <c r="M123" s="237">
        <f>'Rate Sheet'!C156</f>
        <v>8.0399999999999991</v>
      </c>
      <c r="N123" s="237">
        <f t="shared" si="25"/>
        <v>8.0648577290056469</v>
      </c>
      <c r="O123" s="237">
        <f t="shared" si="40"/>
        <v>64313.221442579408</v>
      </c>
      <c r="P123" s="237">
        <f t="shared" ref="P123:P124" si="46">F123*N123</f>
        <v>64512.062316969939</v>
      </c>
      <c r="Q123" s="237">
        <f t="shared" si="38"/>
        <v>198.8408743905311</v>
      </c>
      <c r="R123" s="303">
        <f t="shared" si="41"/>
        <v>-1.4210854715202004E-12</v>
      </c>
      <c r="S123" s="303"/>
      <c r="T123" s="351"/>
      <c r="U123" s="303"/>
    </row>
    <row r="124" spans="1:21" s="230" customFormat="1">
      <c r="A124" s="365"/>
      <c r="B124" s="231">
        <v>34</v>
      </c>
      <c r="C124" s="232" t="str">
        <f>'2180 (Reg.) - Price Out '!B137</f>
        <v>CAN COUNT - COMM</v>
      </c>
      <c r="D124" s="233">
        <f>'2180 (Reg.) - Price Out '!I137</f>
        <v>7090.5353306994439</v>
      </c>
      <c r="E124" s="234">
        <v>1</v>
      </c>
      <c r="F124" s="235">
        <f>'2180 (Reg.) - Price Out '!K137</f>
        <v>85086.423968393327</v>
      </c>
      <c r="G124" s="235">
        <f>References!$B$28</f>
        <v>29</v>
      </c>
      <c r="H124" s="239">
        <f t="shared" si="39"/>
        <v>2467506.2950834064</v>
      </c>
      <c r="I124" s="236">
        <f t="shared" si="37"/>
        <v>2033615.2732889603</v>
      </c>
      <c r="J124" s="237">
        <f>References!$C$51*'Staff Calcs '!I124</f>
        <v>884.62264388070753</v>
      </c>
      <c r="K124" s="237">
        <f>J124/References!$G$54</f>
        <v>902.00886474873948</v>
      </c>
      <c r="L124" s="237">
        <f t="shared" si="45"/>
        <v>1.0601090311232315E-2</v>
      </c>
      <c r="M124" s="237">
        <f>'Rate Sheet'!C144</f>
        <v>3.11</v>
      </c>
      <c r="N124" s="305">
        <f t="shared" si="25"/>
        <v>3.120601090311232</v>
      </c>
      <c r="O124" s="237">
        <f t="shared" si="40"/>
        <v>264618.77854170324</v>
      </c>
      <c r="P124" s="237">
        <f t="shared" si="46"/>
        <v>265520.78740645194</v>
      </c>
      <c r="Q124" s="237">
        <f t="shared" si="38"/>
        <v>902.00886474869912</v>
      </c>
      <c r="R124" s="303">
        <f t="shared" si="41"/>
        <v>-4.0358827391173691E-11</v>
      </c>
      <c r="S124" s="303"/>
      <c r="T124" s="351"/>
      <c r="U124" s="303"/>
    </row>
    <row r="125" spans="1:21" s="230" customFormat="1">
      <c r="A125" s="365"/>
      <c r="B125" s="231">
        <v>34</v>
      </c>
      <c r="C125" s="232" t="str">
        <f>'2180 (Reg.) - Price Out '!B138</f>
        <v>DISTRIBUTED 4 CANS - COMM</v>
      </c>
      <c r="D125" s="233">
        <f>'2180 (Reg.) - Price Out '!I138</f>
        <v>3.9991321750167788</v>
      </c>
      <c r="E125" s="234">
        <f>References!$B$7</f>
        <v>4.333333333333333</v>
      </c>
      <c r="F125" s="235">
        <f t="shared" ref="F125:F126" si="47">D125*E125*12</f>
        <v>207.95487310087248</v>
      </c>
      <c r="G125" s="301">
        <f>References!$B$28*4</f>
        <v>116</v>
      </c>
      <c r="H125" s="235">
        <f t="shared" si="39"/>
        <v>24122.765279701209</v>
      </c>
      <c r="I125" s="236">
        <f t="shared" si="37"/>
        <v>19880.97213956928</v>
      </c>
      <c r="J125" s="237">
        <f>References!$C$51*'Staff Calcs '!I125</f>
        <v>8.6482228807127317</v>
      </c>
      <c r="K125" s="237">
        <f>J125/References!$G$54</f>
        <v>8.8181935616128193</v>
      </c>
      <c r="L125" s="237">
        <f>(K125/F125*E125)</f>
        <v>0.1837522320613601</v>
      </c>
      <c r="M125" s="237">
        <f>'Rate Sheet'!$C$146*References!$B$7*4</f>
        <v>53.906666666666659</v>
      </c>
      <c r="N125" s="237">
        <f t="shared" si="25"/>
        <v>54.090418898728018</v>
      </c>
      <c r="O125" s="237">
        <f>D125*M125*12</f>
        <v>2586.9586213748535</v>
      </c>
      <c r="P125" s="237">
        <f>D125*N125*12</f>
        <v>2595.7768149364665</v>
      </c>
      <c r="Q125" s="237">
        <f t="shared" si="38"/>
        <v>8.8181935616130431</v>
      </c>
      <c r="R125" s="303">
        <f t="shared" si="41"/>
        <v>2.2382096176443156E-13</v>
      </c>
      <c r="S125" s="303"/>
      <c r="T125" s="351"/>
      <c r="U125" s="303"/>
    </row>
    <row r="126" spans="1:21" s="230" customFormat="1">
      <c r="A126" s="365"/>
      <c r="B126" s="231">
        <v>34</v>
      </c>
      <c r="C126" s="232" t="str">
        <f>'2180 (Reg.) - Price Out '!B139</f>
        <v>DISTRIBUTED 5 CANS - COMM</v>
      </c>
      <c r="D126" s="233">
        <f>'2180 (Reg.) - Price Out '!I139</f>
        <v>1.9995660875083896</v>
      </c>
      <c r="E126" s="234">
        <f>References!$B$7</f>
        <v>4.333333333333333</v>
      </c>
      <c r="F126" s="235">
        <f t="shared" si="47"/>
        <v>103.97743655043624</v>
      </c>
      <c r="G126" s="337">
        <f>References!$B$28*5</f>
        <v>145</v>
      </c>
      <c r="H126" s="235">
        <f t="shared" si="39"/>
        <v>15076.728299813254</v>
      </c>
      <c r="I126" s="236">
        <f t="shared" si="37"/>
        <v>12425.607587230799</v>
      </c>
      <c r="J126" s="237">
        <f>References!$C$51*'Staff Calcs '!I126</f>
        <v>5.405139300445458</v>
      </c>
      <c r="K126" s="237">
        <f>J126/References!$G$54</f>
        <v>5.5113709760080125</v>
      </c>
      <c r="L126" s="237">
        <f>(K126/F126*E126)</f>
        <v>0.22969029007670019</v>
      </c>
      <c r="M126" s="237">
        <f>'Rate Sheet'!$C$146*References!$B$7*5</f>
        <v>67.383333333333326</v>
      </c>
      <c r="N126" s="237">
        <f t="shared" si="25"/>
        <v>67.613023623410029</v>
      </c>
      <c r="O126" s="237">
        <f>D126*M126*12</f>
        <v>1616.8491383592836</v>
      </c>
      <c r="P126" s="237">
        <f>D126*N126*12</f>
        <v>1622.3605093352917</v>
      </c>
      <c r="Q126" s="237">
        <f t="shared" si="38"/>
        <v>5.5113709760080383</v>
      </c>
      <c r="R126" s="303">
        <f t="shared" si="41"/>
        <v>2.5757174171303632E-14</v>
      </c>
      <c r="S126" s="303"/>
      <c r="T126" s="351"/>
      <c r="U126" s="303"/>
    </row>
    <row r="127" spans="1:21" s="230" customFormat="1">
      <c r="A127" s="365"/>
      <c r="B127" s="231">
        <v>34</v>
      </c>
      <c r="C127" s="232" t="str">
        <f>'2180 (Reg.) - Price Out '!B140</f>
        <v>ADDITIONAL 32 GL COMM</v>
      </c>
      <c r="D127" s="233">
        <f>'2180 (Reg.) - Price Out '!I140</f>
        <v>8</v>
      </c>
      <c r="E127" s="234"/>
      <c r="F127" s="235">
        <f>'2180 (Reg.) - Price Out '!K140</f>
        <v>96</v>
      </c>
      <c r="G127" s="235">
        <f>References!$B$28</f>
        <v>29</v>
      </c>
      <c r="H127" s="235">
        <f t="shared" si="39"/>
        <v>2784</v>
      </c>
      <c r="I127" s="236">
        <f t="shared" si="37"/>
        <v>2294.4561203824987</v>
      </c>
      <c r="J127" s="237">
        <f>References!$C$51*'Staff Calcs '!I127</f>
        <v>0.998088412366398</v>
      </c>
      <c r="K127" s="237">
        <f>J127/References!$G$54</f>
        <v>1.0177046698783023</v>
      </c>
      <c r="L127" s="237">
        <f t="shared" ref="L127:L128" si="48">(K127/F127)</f>
        <v>1.0601090311232316E-2</v>
      </c>
      <c r="M127" s="237">
        <f>'Rate Sheet'!C150</f>
        <v>12.1</v>
      </c>
      <c r="N127" s="237">
        <f t="shared" si="25"/>
        <v>12.110601090311231</v>
      </c>
      <c r="O127" s="237">
        <f t="shared" si="40"/>
        <v>1161.5999999999999</v>
      </c>
      <c r="P127" s="237">
        <f>D127*N127*12</f>
        <v>1162.6177046698781</v>
      </c>
      <c r="Q127" s="237">
        <f t="shared" si="38"/>
        <v>1.0177046698781851</v>
      </c>
      <c r="R127" s="303">
        <f t="shared" si="41"/>
        <v>-1.1723955140041653E-13</v>
      </c>
      <c r="S127" s="303"/>
      <c r="T127" s="351"/>
      <c r="U127" s="303"/>
    </row>
    <row r="128" spans="1:21" s="230" customFormat="1">
      <c r="A128" s="365"/>
      <c r="B128" s="231">
        <v>34</v>
      </c>
      <c r="C128" s="232" t="str">
        <f>'2180 (Reg.) - Price Out '!B141</f>
        <v>BULKY ITEM PICK UP - COMM</v>
      </c>
      <c r="D128" s="233">
        <f>'2180 (Reg.) - Price Out '!I141</f>
        <v>0.58333333333333337</v>
      </c>
      <c r="E128" s="234"/>
      <c r="F128" s="235">
        <f>'2180 (Reg.) - Price Out '!K141</f>
        <v>7</v>
      </c>
      <c r="G128" s="235">
        <f>References!B44</f>
        <v>125</v>
      </c>
      <c r="H128" s="235">
        <f t="shared" si="39"/>
        <v>875</v>
      </c>
      <c r="I128" s="236">
        <f t="shared" si="37"/>
        <v>721.13832806562004</v>
      </c>
      <c r="J128" s="237">
        <f>References!$C$51*'Staff Calcs '!I128</f>
        <v>0.31369517270854819</v>
      </c>
      <c r="K128" s="237">
        <f>J128/References!$G$54</f>
        <v>0.31986048352856122</v>
      </c>
      <c r="L128" s="237">
        <f t="shared" si="48"/>
        <v>4.5694354789794459E-2</v>
      </c>
      <c r="M128" s="237">
        <f>'Rate Sheet'!C151</f>
        <v>4.08</v>
      </c>
      <c r="N128" s="237">
        <f t="shared" si="25"/>
        <v>4.1256943547897942</v>
      </c>
      <c r="O128" s="237">
        <f t="shared" si="40"/>
        <v>28.560000000000002</v>
      </c>
      <c r="P128" s="237">
        <f>F128*N128</f>
        <v>28.87986048352856</v>
      </c>
      <c r="Q128" s="237">
        <f t="shared" si="38"/>
        <v>0.31986048352855789</v>
      </c>
      <c r="R128" s="303">
        <f t="shared" si="41"/>
        <v>-3.3306690738754696E-15</v>
      </c>
      <c r="S128" s="303"/>
      <c r="T128" s="351"/>
      <c r="U128" s="303"/>
    </row>
    <row r="129" spans="1:21" s="230" customFormat="1">
      <c r="A129" s="365"/>
      <c r="B129" s="231"/>
      <c r="C129" s="304" t="str">
        <f>'2180 (Reg.) - Price Out '!B142</f>
        <v>EXTRA PICK UP 96 GW -COMM</v>
      </c>
      <c r="D129" s="233">
        <f>'2180 (Reg.) - Price Out '!I142</f>
        <v>2.3333333333333335</v>
      </c>
      <c r="E129" s="234"/>
      <c r="F129" s="235">
        <f>'2180 (Reg.) - Price Out '!K142</f>
        <v>0</v>
      </c>
      <c r="G129" s="235"/>
      <c r="H129" s="235">
        <f t="shared" si="39"/>
        <v>0</v>
      </c>
      <c r="I129" s="236">
        <f t="shared" si="37"/>
        <v>0</v>
      </c>
      <c r="J129" s="237">
        <f>References!$C$51*'Staff Calcs '!I129</f>
        <v>0</v>
      </c>
      <c r="K129" s="237">
        <f>J129/References!$G$54</f>
        <v>0</v>
      </c>
      <c r="L129" s="237"/>
      <c r="M129" s="237"/>
      <c r="N129" s="237">
        <f t="shared" si="25"/>
        <v>0</v>
      </c>
      <c r="O129" s="237">
        <f t="shared" si="40"/>
        <v>0</v>
      </c>
      <c r="P129" s="237">
        <f t="shared" ref="P129:P130" si="49">F129*N129</f>
        <v>0</v>
      </c>
      <c r="Q129" s="237">
        <f t="shared" si="38"/>
        <v>0</v>
      </c>
      <c r="R129" s="303"/>
      <c r="S129" s="303"/>
      <c r="T129" s="340"/>
      <c r="U129" s="303"/>
    </row>
    <row r="130" spans="1:21" s="230" customFormat="1">
      <c r="A130" s="365"/>
      <c r="B130" s="231">
        <v>34</v>
      </c>
      <c r="C130" s="232" t="str">
        <f>'2180 (Reg.) - Price Out '!B143</f>
        <v>EXTRA CAN, BAG, BOX - COM</v>
      </c>
      <c r="D130" s="233">
        <f>'2180 (Reg.) - Price Out '!I143</f>
        <v>490.7645863022326</v>
      </c>
      <c r="E130" s="234"/>
      <c r="F130" s="235">
        <f>'2180 (Reg.) - Price Out '!K143</f>
        <v>5889.1750356267912</v>
      </c>
      <c r="G130" s="235">
        <f>References!$B$28</f>
        <v>29</v>
      </c>
      <c r="H130" s="235">
        <f t="shared" si="39"/>
        <v>170786.07603317694</v>
      </c>
      <c r="I130" s="236">
        <f t="shared" ref="I130:I139" si="50">$D$219*H130</f>
        <v>140754.72608851781</v>
      </c>
      <c r="J130" s="237">
        <f>References!$C$51*'Staff Calcs '!I130</f>
        <v>61.228305848505926</v>
      </c>
      <c r="K130" s="237">
        <f>J130/References!$G$54</f>
        <v>62.431676411334401</v>
      </c>
      <c r="L130" s="237">
        <f>(K130/F130)</f>
        <v>1.0601090311232315E-2</v>
      </c>
      <c r="M130" s="237">
        <f>'Rate Sheet'!C144</f>
        <v>3.11</v>
      </c>
      <c r="N130" s="237">
        <f t="shared" ref="N130:N181" si="51">L130+M130</f>
        <v>3.120601090311232</v>
      </c>
      <c r="O130" s="237">
        <f t="shared" si="40"/>
        <v>18315.334360799319</v>
      </c>
      <c r="P130" s="237">
        <f t="shared" si="49"/>
        <v>18377.766037210655</v>
      </c>
      <c r="Q130" s="237">
        <f t="shared" si="38"/>
        <v>62.431676411335502</v>
      </c>
      <c r="R130" s="303">
        <f t="shared" ref="R130" si="52">Q130-K130</f>
        <v>1.1013412404281553E-12</v>
      </c>
      <c r="S130" s="303"/>
      <c r="T130" s="351"/>
      <c r="U130" s="303"/>
    </row>
    <row r="131" spans="1:21" s="230" customFormat="1">
      <c r="A131" s="365"/>
      <c r="B131" s="231">
        <v>21</v>
      </c>
      <c r="C131" s="232" t="str">
        <f>'2180 (Reg.) - Price Out '!B144</f>
        <v>EXTRA GREENWASTE FEE - CO</v>
      </c>
      <c r="D131" s="233">
        <f>'2180 (Reg.) - Price Out '!I144</f>
        <v>7.6585714285714275</v>
      </c>
      <c r="E131" s="234"/>
      <c r="F131" s="235">
        <f>'2180 (Reg.) - Price Out '!K144</f>
        <v>0</v>
      </c>
      <c r="G131" s="235"/>
      <c r="H131" s="235">
        <f t="shared" si="39"/>
        <v>0</v>
      </c>
      <c r="I131" s="236">
        <f t="shared" si="50"/>
        <v>0</v>
      </c>
      <c r="J131" s="237">
        <f>References!$C$51*'Staff Calcs '!I131</f>
        <v>0</v>
      </c>
      <c r="K131" s="237">
        <f>J131/References!$G$54</f>
        <v>0</v>
      </c>
      <c r="L131" s="237"/>
      <c r="M131" s="237"/>
      <c r="N131" s="237"/>
      <c r="O131" s="237"/>
      <c r="P131" s="237"/>
      <c r="Q131" s="237"/>
      <c r="R131" s="303"/>
      <c r="S131" s="303"/>
      <c r="T131" s="340"/>
      <c r="U131" s="303"/>
    </row>
    <row r="132" spans="1:21" s="230" customFormat="1">
      <c r="A132" s="365"/>
      <c r="B132" s="231">
        <v>26</v>
      </c>
      <c r="C132" s="232" t="str">
        <f>'2180 (Reg.) - Price Out '!B145</f>
        <v>EXTRA YARDAGE - COMM</v>
      </c>
      <c r="D132" s="233">
        <f>'2180 (Reg.) - Price Out '!I145</f>
        <v>29.899371345744829</v>
      </c>
      <c r="E132" s="234"/>
      <c r="F132" s="235">
        <f>'2180 (Reg.) - Price Out '!K145</f>
        <v>358.79245614893796</v>
      </c>
      <c r="G132" s="235">
        <f>References!B44</f>
        <v>125</v>
      </c>
      <c r="H132" s="235">
        <f t="shared" si="39"/>
        <v>44849.057018617248</v>
      </c>
      <c r="I132" s="236">
        <f t="shared" si="50"/>
        <v>36962.713135686063</v>
      </c>
      <c r="J132" s="237">
        <f>References!$C$51*'Staff Calcs '!I132</f>
        <v>16.078780214023617</v>
      </c>
      <c r="K132" s="237">
        <f>J132/References!$G$54</f>
        <v>16.394789787171344</v>
      </c>
      <c r="L132" s="237">
        <f t="shared" ref="L132:L135" si="53">(K132/F132)</f>
        <v>4.5694354789794465E-2</v>
      </c>
      <c r="M132" s="237">
        <f>'Rate Sheet'!C99</f>
        <v>31.02</v>
      </c>
      <c r="N132" s="237">
        <f t="shared" si="51"/>
        <v>31.065694354789795</v>
      </c>
      <c r="O132" s="237">
        <f t="shared" si="40"/>
        <v>11129.741989740056</v>
      </c>
      <c r="P132" s="237">
        <f>F132*N132</f>
        <v>11146.136779527227</v>
      </c>
      <c r="Q132" s="237">
        <f t="shared" si="38"/>
        <v>16.394789787171248</v>
      </c>
      <c r="R132" s="303">
        <f t="shared" ref="R132:R135" si="54">Q132-K132</f>
        <v>-9.5923269327613525E-14</v>
      </c>
      <c r="S132" s="303"/>
      <c r="T132" s="351"/>
      <c r="U132" s="303"/>
    </row>
    <row r="133" spans="1:21" s="230" customFormat="1">
      <c r="A133" s="365"/>
      <c r="B133" s="231">
        <v>22</v>
      </c>
      <c r="C133" s="232" t="str">
        <f>'2180 (Reg.) - Price Out '!B146</f>
        <v>ON CALL SERVICE - COMM</v>
      </c>
      <c r="D133" s="233">
        <f>'2180 (Reg.) - Price Out '!I146</f>
        <v>1.9632816982214571</v>
      </c>
      <c r="E133" s="234"/>
      <c r="F133" s="235">
        <f>'2180 (Reg.) - Price Out '!K146</f>
        <v>23.559380378657487</v>
      </c>
      <c r="G133" s="235">
        <f>References!$B$28</f>
        <v>29</v>
      </c>
      <c r="H133" s="235">
        <f t="shared" si="39"/>
        <v>683.22203098106706</v>
      </c>
      <c r="I133" s="236">
        <f t="shared" si="50"/>
        <v>563.08296356489598</v>
      </c>
      <c r="J133" s="237">
        <f>References!$C$51*'Staff Calcs '!I133</f>
        <v>0.24494108915073246</v>
      </c>
      <c r="K133" s="237">
        <f>J133/References!$G$54</f>
        <v>0.24975511907082257</v>
      </c>
      <c r="L133" s="237">
        <f t="shared" si="53"/>
        <v>1.0601090311232315E-2</v>
      </c>
      <c r="M133" s="237">
        <f>'Rate Sheet'!C52</f>
        <v>7.61</v>
      </c>
      <c r="N133" s="237">
        <f>L133+M133</f>
        <v>7.6206010903112329</v>
      </c>
      <c r="O133" s="237">
        <f t="shared" si="40"/>
        <v>179.28688468158347</v>
      </c>
      <c r="P133" s="237">
        <f t="shared" ref="P133:P135" si="55">F133*N133</f>
        <v>179.53663980065431</v>
      </c>
      <c r="Q133" s="237">
        <f t="shared" si="38"/>
        <v>0.24975511907084069</v>
      </c>
      <c r="R133" s="303">
        <f t="shared" si="54"/>
        <v>1.8124390877005681E-14</v>
      </c>
      <c r="S133" s="303"/>
      <c r="T133" s="351"/>
      <c r="U133" s="303"/>
    </row>
    <row r="134" spans="1:21" s="230" customFormat="1">
      <c r="A134" s="365"/>
      <c r="B134" s="231">
        <v>16</v>
      </c>
      <c r="C134" s="232" t="str">
        <f>'2180 (Reg.) - Price Out '!B147</f>
        <v>OVERFILL / OVERWEIGHT CAN</v>
      </c>
      <c r="D134" s="233">
        <f>'2180 (Reg.) - Price Out '!I147</f>
        <v>0.41666666666666669</v>
      </c>
      <c r="E134" s="234"/>
      <c r="F134" s="235">
        <f>'2180 (Reg.) - Price Out '!K147</f>
        <v>5</v>
      </c>
      <c r="G134" s="235">
        <f>References!$B$28</f>
        <v>29</v>
      </c>
      <c r="H134" s="235">
        <f t="shared" si="39"/>
        <v>145</v>
      </c>
      <c r="I134" s="236">
        <f t="shared" si="50"/>
        <v>119.50292293658846</v>
      </c>
      <c r="J134" s="237">
        <f>References!$C$51*'Staff Calcs '!I134</f>
        <v>5.1983771477416556E-2</v>
      </c>
      <c r="K134" s="237">
        <f>J134/References!$G$54</f>
        <v>5.300545155616157E-2</v>
      </c>
      <c r="L134" s="237">
        <f t="shared" si="53"/>
        <v>1.0601090311232315E-2</v>
      </c>
      <c r="M134" s="237">
        <f>'Rate Sheet'!C9</f>
        <v>7.41</v>
      </c>
      <c r="N134" s="237">
        <f t="shared" si="51"/>
        <v>7.4206010903112327</v>
      </c>
      <c r="O134" s="237">
        <f t="shared" si="40"/>
        <v>37.049999999999997</v>
      </c>
      <c r="P134" s="237">
        <f t="shared" si="55"/>
        <v>37.103005451556164</v>
      </c>
      <c r="Q134" s="237">
        <f t="shared" si="38"/>
        <v>5.3005451556167316E-2</v>
      </c>
      <c r="R134" s="303">
        <f t="shared" si="54"/>
        <v>5.7454041524351851E-15</v>
      </c>
      <c r="S134" s="303"/>
      <c r="T134" s="351"/>
      <c r="U134" s="303"/>
    </row>
    <row r="135" spans="1:21" s="230" customFormat="1">
      <c r="A135" s="365"/>
      <c r="B135" s="231">
        <v>16</v>
      </c>
      <c r="C135" s="232" t="str">
        <f>'2180 (Reg.) - Price Out '!B148</f>
        <v>OVERSIZE CAN - COMM</v>
      </c>
      <c r="D135" s="233">
        <f>'2180 (Reg.) - Price Out '!I148</f>
        <v>0.41666666666666669</v>
      </c>
      <c r="E135" s="234"/>
      <c r="F135" s="235">
        <f>'2180 (Reg.) - Price Out '!K148</f>
        <v>5</v>
      </c>
      <c r="G135" s="235">
        <f>References!$B$28</f>
        <v>29</v>
      </c>
      <c r="H135" s="235">
        <f t="shared" si="39"/>
        <v>145</v>
      </c>
      <c r="I135" s="236">
        <f t="shared" si="50"/>
        <v>119.50292293658846</v>
      </c>
      <c r="J135" s="237">
        <f>References!$C$51*'Staff Calcs '!I135</f>
        <v>5.1983771477416556E-2</v>
      </c>
      <c r="K135" s="237">
        <f>J135/References!$G$54</f>
        <v>5.300545155616157E-2</v>
      </c>
      <c r="L135" s="237">
        <f t="shared" si="53"/>
        <v>1.0601090311232315E-2</v>
      </c>
      <c r="M135" s="237">
        <f>M134</f>
        <v>7.41</v>
      </c>
      <c r="N135" s="237">
        <f t="shared" si="51"/>
        <v>7.4206010903112327</v>
      </c>
      <c r="O135" s="237">
        <f t="shared" si="40"/>
        <v>37.049999999999997</v>
      </c>
      <c r="P135" s="237">
        <f t="shared" si="55"/>
        <v>37.103005451556164</v>
      </c>
      <c r="Q135" s="237">
        <f t="shared" si="38"/>
        <v>5.3005451556167316E-2</v>
      </c>
      <c r="R135" s="303">
        <f t="shared" si="54"/>
        <v>5.7454041524351851E-15</v>
      </c>
      <c r="S135" s="303"/>
      <c r="T135" s="351"/>
      <c r="U135" s="303"/>
    </row>
    <row r="136" spans="1:21" s="230" customFormat="1">
      <c r="A136" s="365"/>
      <c r="B136" s="231"/>
      <c r="C136" s="232" t="str">
        <f>'2180 (Reg.) - Price Out '!B149</f>
        <v>ACCESS FEE - COMM</v>
      </c>
      <c r="D136" s="233">
        <f>'2180 (Reg.) - Price Out '!I149</f>
        <v>204.66722222222225</v>
      </c>
      <c r="E136" s="234"/>
      <c r="F136" s="235">
        <f>'2180 (Reg.) - Price Out '!K149</f>
        <v>0</v>
      </c>
      <c r="G136" s="235"/>
      <c r="H136" s="235">
        <f t="shared" si="39"/>
        <v>0</v>
      </c>
      <c r="I136" s="236">
        <f t="shared" si="50"/>
        <v>0</v>
      </c>
      <c r="J136" s="237">
        <f>References!$C$51*'Staff Calcs '!I136</f>
        <v>0</v>
      </c>
      <c r="K136" s="237">
        <f>J136/References!$G$54</f>
        <v>0</v>
      </c>
      <c r="L136" s="237"/>
      <c r="M136" s="237"/>
      <c r="N136" s="237">
        <f t="shared" si="51"/>
        <v>0</v>
      </c>
      <c r="O136" s="237">
        <f t="shared" si="40"/>
        <v>0</v>
      </c>
      <c r="P136" s="237"/>
      <c r="Q136" s="237">
        <f t="shared" si="38"/>
        <v>0</v>
      </c>
      <c r="R136" s="303"/>
      <c r="S136" s="303"/>
    </row>
    <row r="137" spans="1:21" s="230" customFormat="1">
      <c r="A137" s="365"/>
      <c r="B137" s="231"/>
      <c r="C137" s="232" t="str">
        <f>'2180 (Reg.) - Price Out '!B150</f>
        <v>ACCESS FEE - MF</v>
      </c>
      <c r="D137" s="233">
        <f>'2180 (Reg.) - Price Out '!I150</f>
        <v>1.6733333333333331</v>
      </c>
      <c r="E137" s="234"/>
      <c r="F137" s="235">
        <f>'2180 (Reg.) - Price Out '!K150</f>
        <v>0</v>
      </c>
      <c r="G137" s="235"/>
      <c r="H137" s="235">
        <f t="shared" si="39"/>
        <v>0</v>
      </c>
      <c r="I137" s="236">
        <f t="shared" si="50"/>
        <v>0</v>
      </c>
      <c r="J137" s="237">
        <f>References!$C$51*'Staff Calcs '!I137</f>
        <v>0</v>
      </c>
      <c r="K137" s="237">
        <f>J137/References!$G$54</f>
        <v>0</v>
      </c>
      <c r="L137" s="237"/>
      <c r="M137" s="237"/>
      <c r="N137" s="237">
        <f t="shared" si="51"/>
        <v>0</v>
      </c>
      <c r="O137" s="237">
        <f t="shared" si="40"/>
        <v>0</v>
      </c>
      <c r="P137" s="237"/>
      <c r="Q137" s="237">
        <f t="shared" si="38"/>
        <v>0</v>
      </c>
      <c r="R137" s="303"/>
      <c r="S137" s="303"/>
    </row>
    <row r="138" spans="1:21" s="230" customFormat="1">
      <c r="A138" s="365"/>
      <c r="B138" s="231"/>
      <c r="C138" s="232" t="str">
        <f>'2180 (Reg.) - Price Out '!B151</f>
        <v>APPLIANCE REMOVAL - COMM</v>
      </c>
      <c r="D138" s="233">
        <f>'2180 (Reg.) - Price Out '!I151</f>
        <v>0.16666666666666666</v>
      </c>
      <c r="E138" s="234"/>
      <c r="F138" s="235">
        <f>'2180 (Reg.) - Price Out '!K151</f>
        <v>0</v>
      </c>
      <c r="G138" s="235"/>
      <c r="H138" s="235">
        <f t="shared" si="39"/>
        <v>0</v>
      </c>
      <c r="I138" s="236">
        <f t="shared" si="50"/>
        <v>0</v>
      </c>
      <c r="J138" s="237">
        <f>References!$C$51*'Staff Calcs '!I138</f>
        <v>0</v>
      </c>
      <c r="K138" s="237">
        <f>J138/References!$G$54</f>
        <v>0</v>
      </c>
      <c r="L138" s="237"/>
      <c r="M138" s="237"/>
      <c r="N138" s="237">
        <f t="shared" si="51"/>
        <v>0</v>
      </c>
      <c r="O138" s="237">
        <f t="shared" si="40"/>
        <v>0</v>
      </c>
      <c r="P138" s="237"/>
      <c r="Q138" s="237">
        <f t="shared" si="38"/>
        <v>0</v>
      </c>
      <c r="R138" s="303"/>
      <c r="S138" s="303"/>
    </row>
    <row r="139" spans="1:21" s="230" customFormat="1">
      <c r="A139" s="365"/>
      <c r="B139" s="231"/>
      <c r="C139" s="232" t="str">
        <f>'2180 (Reg.) - Price Out '!B152</f>
        <v>CONTAINER CLEANING FEE - COMM</v>
      </c>
      <c r="D139" s="233">
        <f>'2180 (Reg.) - Price Out '!I152</f>
        <v>8.5833333333333339</v>
      </c>
      <c r="E139" s="234"/>
      <c r="F139" s="235">
        <f>'2180 (Reg.) - Price Out '!K152</f>
        <v>0</v>
      </c>
      <c r="G139" s="235"/>
      <c r="H139" s="235">
        <f t="shared" si="39"/>
        <v>0</v>
      </c>
      <c r="I139" s="236">
        <f t="shared" si="50"/>
        <v>0</v>
      </c>
      <c r="J139" s="237">
        <f>References!$C$51*'Staff Calcs '!I139</f>
        <v>0</v>
      </c>
      <c r="K139" s="237">
        <f>J139/References!$G$54</f>
        <v>0</v>
      </c>
      <c r="L139" s="237"/>
      <c r="M139" s="237"/>
      <c r="N139" s="237">
        <f t="shared" si="51"/>
        <v>0</v>
      </c>
      <c r="O139" s="237">
        <f t="shared" si="40"/>
        <v>0</v>
      </c>
      <c r="P139" s="237"/>
      <c r="Q139" s="237">
        <f t="shared" si="38"/>
        <v>0</v>
      </c>
      <c r="R139" s="303"/>
      <c r="S139" s="303"/>
    </row>
    <row r="140" spans="1:21" s="230" customFormat="1">
      <c r="A140" s="365"/>
      <c r="B140" s="231"/>
      <c r="C140" s="304" t="str">
        <f>'2180 (Reg.) - Price Out '!B153</f>
        <v>DISPOSAL FEE - COMM</v>
      </c>
      <c r="D140" s="233"/>
      <c r="E140" s="234"/>
      <c r="F140" s="235"/>
      <c r="G140" s="235"/>
      <c r="H140" s="235"/>
      <c r="I140" s="236"/>
      <c r="J140" s="237"/>
      <c r="K140" s="237"/>
      <c r="L140" s="237"/>
      <c r="M140" s="237"/>
      <c r="N140" s="237"/>
      <c r="O140" s="237"/>
      <c r="P140" s="237"/>
      <c r="Q140" s="237"/>
      <c r="R140" s="303"/>
      <c r="S140" s="303"/>
    </row>
    <row r="141" spans="1:21" s="230" customFormat="1">
      <c r="A141" s="365"/>
      <c r="B141" s="231"/>
      <c r="C141" s="232" t="str">
        <f>'2180 (Reg.) - Price Out '!B154</f>
        <v>DRIVE IN 125-250' - COMM</v>
      </c>
      <c r="D141" s="233">
        <f>'2180 (Reg.) - Price Out '!I154</f>
        <v>29.070676691729322</v>
      </c>
      <c r="E141" s="234"/>
      <c r="F141" s="235">
        <f>'2180 (Reg.) - Price Out '!K154</f>
        <v>0</v>
      </c>
      <c r="G141" s="235"/>
      <c r="H141" s="235">
        <f t="shared" si="39"/>
        <v>0</v>
      </c>
      <c r="I141" s="236">
        <f t="shared" ref="I141:I181" si="56">$D$219*H141</f>
        <v>0</v>
      </c>
      <c r="J141" s="237">
        <f>References!$C$51*'Staff Calcs '!I141</f>
        <v>0</v>
      </c>
      <c r="K141" s="237">
        <f>J141/References!$G$54</f>
        <v>0</v>
      </c>
      <c r="L141" s="237"/>
      <c r="M141" s="237"/>
      <c r="N141" s="237">
        <f t="shared" si="51"/>
        <v>0</v>
      </c>
      <c r="O141" s="237">
        <f t="shared" si="40"/>
        <v>0</v>
      </c>
      <c r="P141" s="237"/>
      <c r="Q141" s="237">
        <f t="shared" si="38"/>
        <v>0</v>
      </c>
      <c r="R141" s="303"/>
      <c r="S141" s="303"/>
    </row>
    <row r="142" spans="1:21" s="230" customFormat="1">
      <c r="A142" s="365"/>
      <c r="B142" s="231"/>
      <c r="C142" s="232" t="str">
        <f>'2180 (Reg.) - Price Out '!B155</f>
        <v>DRIVE IN SERVICE - COMM</v>
      </c>
      <c r="D142" s="233">
        <f>'2180 (Reg.) - Price Out '!I155</f>
        <v>27.687343358395989</v>
      </c>
      <c r="E142" s="234"/>
      <c r="F142" s="235">
        <f>'2180 (Reg.) - Price Out '!K155</f>
        <v>0</v>
      </c>
      <c r="G142" s="239"/>
      <c r="H142" s="239">
        <f t="shared" si="39"/>
        <v>0</v>
      </c>
      <c r="I142" s="236">
        <f t="shared" si="56"/>
        <v>0</v>
      </c>
      <c r="J142" s="237">
        <f>References!$C$51*'Staff Calcs '!I142</f>
        <v>0</v>
      </c>
      <c r="K142" s="237">
        <f>J142/References!$G$54</f>
        <v>0</v>
      </c>
      <c r="L142" s="237"/>
      <c r="M142" s="237"/>
      <c r="N142" s="237">
        <f t="shared" si="51"/>
        <v>0</v>
      </c>
      <c r="O142" s="237">
        <f t="shared" si="40"/>
        <v>0</v>
      </c>
      <c r="P142" s="237"/>
      <c r="Q142" s="237">
        <f t="shared" si="38"/>
        <v>0</v>
      </c>
      <c r="R142" s="303"/>
      <c r="S142" s="303"/>
    </row>
    <row r="143" spans="1:21" s="230" customFormat="1">
      <c r="A143" s="365"/>
      <c r="B143" s="231"/>
      <c r="C143" s="232" t="str">
        <f>'2180 (Reg.) - Price Out '!B156</f>
        <v>EQUIPMENT CHARGE - COMM</v>
      </c>
      <c r="D143" s="233">
        <f>'2180 (Reg.) - Price Out '!I156</f>
        <v>3</v>
      </c>
      <c r="E143" s="234"/>
      <c r="F143" s="235">
        <f>'2180 (Reg.) - Price Out '!K156</f>
        <v>0</v>
      </c>
      <c r="G143" s="239"/>
      <c r="H143" s="239">
        <f t="shared" ref="H143:H181" si="57">F143*G143</f>
        <v>0</v>
      </c>
      <c r="I143" s="236">
        <f t="shared" si="56"/>
        <v>0</v>
      </c>
      <c r="J143" s="237">
        <f>References!$C$51*'Staff Calcs '!I143</f>
        <v>0</v>
      </c>
      <c r="K143" s="237">
        <f>J143/References!$G$54</f>
        <v>0</v>
      </c>
      <c r="L143" s="237"/>
      <c r="M143" s="237"/>
      <c r="N143" s="237">
        <f t="shared" si="51"/>
        <v>0</v>
      </c>
      <c r="O143" s="237">
        <f t="shared" ref="O143:O181" si="58">F143*M143</f>
        <v>0</v>
      </c>
      <c r="P143" s="237"/>
      <c r="Q143" s="237">
        <f t="shared" ref="Q143:Q181" si="59">P143-O143</f>
        <v>0</v>
      </c>
      <c r="R143" s="303"/>
      <c r="S143" s="303"/>
    </row>
    <row r="144" spans="1:21" s="230" customFormat="1">
      <c r="A144" s="365"/>
      <c r="B144" s="231"/>
      <c r="C144" s="232" t="str">
        <f>'2180 (Reg.) - Price Out '!B157</f>
        <v>ROLL OUT CHARGE - COMM</v>
      </c>
      <c r="D144" s="233">
        <f>'2180 (Reg.) - Price Out '!I157</f>
        <v>1.6101851851851852</v>
      </c>
      <c r="E144" s="234"/>
      <c r="F144" s="235">
        <f>'2180 (Reg.) - Price Out '!K157</f>
        <v>0</v>
      </c>
      <c r="G144" s="239"/>
      <c r="H144" s="239">
        <f t="shared" si="57"/>
        <v>0</v>
      </c>
      <c r="I144" s="236">
        <f t="shared" si="56"/>
        <v>0</v>
      </c>
      <c r="J144" s="237">
        <f>References!$C$51*'Staff Calcs '!I144</f>
        <v>0</v>
      </c>
      <c r="K144" s="237">
        <f>J144/References!$G$54</f>
        <v>0</v>
      </c>
      <c r="L144" s="237"/>
      <c r="M144" s="237"/>
      <c r="N144" s="237">
        <f t="shared" si="51"/>
        <v>0</v>
      </c>
      <c r="O144" s="237">
        <f t="shared" si="58"/>
        <v>0</v>
      </c>
      <c r="P144" s="237"/>
      <c r="Q144" s="237">
        <f t="shared" si="59"/>
        <v>0</v>
      </c>
      <c r="R144" s="303"/>
      <c r="S144" s="303"/>
    </row>
    <row r="145" spans="1:19" s="230" customFormat="1">
      <c r="A145" s="365"/>
      <c r="B145" s="231"/>
      <c r="C145" s="232" t="str">
        <f>'2180 (Reg.) - Price Out '!B158</f>
        <v>WALK IN 6-25' - COMM</v>
      </c>
      <c r="D145" s="233">
        <f>'2180 (Reg.) - Price Out '!I158</f>
        <v>4</v>
      </c>
      <c r="E145" s="234"/>
      <c r="F145" s="235">
        <f>'2180 (Reg.) - Price Out '!K158</f>
        <v>0</v>
      </c>
      <c r="G145" s="239"/>
      <c r="H145" s="239">
        <f t="shared" si="57"/>
        <v>0</v>
      </c>
      <c r="I145" s="236">
        <f t="shared" si="56"/>
        <v>0</v>
      </c>
      <c r="J145" s="237">
        <f>References!$C$51*'Staff Calcs '!I145</f>
        <v>0</v>
      </c>
      <c r="K145" s="237">
        <f>J145/References!$G$54</f>
        <v>0</v>
      </c>
      <c r="L145" s="237"/>
      <c r="M145" s="237"/>
      <c r="N145" s="237">
        <f t="shared" si="51"/>
        <v>0</v>
      </c>
      <c r="O145" s="237">
        <f t="shared" si="58"/>
        <v>0</v>
      </c>
      <c r="P145" s="237"/>
      <c r="Q145" s="237">
        <f t="shared" si="59"/>
        <v>0</v>
      </c>
      <c r="R145" s="303"/>
      <c r="S145" s="303"/>
    </row>
    <row r="146" spans="1:19" s="230" customFormat="1">
      <c r="A146" s="365"/>
      <c r="B146" s="231"/>
      <c r="C146" s="232" t="str">
        <f>'2180 (Reg.) - Price Out '!B159</f>
        <v>WALK IN 26-50' - COMM</v>
      </c>
      <c r="D146" s="233">
        <f>'2180 (Reg.) - Price Out '!I159</f>
        <v>0.95974878081750215</v>
      </c>
      <c r="E146" s="234"/>
      <c r="F146" s="235">
        <f>'2180 (Reg.) - Price Out '!K159</f>
        <v>0</v>
      </c>
      <c r="G146" s="239"/>
      <c r="H146" s="239">
        <f t="shared" si="57"/>
        <v>0</v>
      </c>
      <c r="I146" s="236">
        <f t="shared" si="56"/>
        <v>0</v>
      </c>
      <c r="J146" s="237">
        <f>References!$C$51*'Staff Calcs '!I146</f>
        <v>0</v>
      </c>
      <c r="K146" s="237">
        <f>J146/References!$G$54</f>
        <v>0</v>
      </c>
      <c r="L146" s="237"/>
      <c r="M146" s="237"/>
      <c r="N146" s="237">
        <f t="shared" si="51"/>
        <v>0</v>
      </c>
      <c r="O146" s="237">
        <f t="shared" si="58"/>
        <v>0</v>
      </c>
      <c r="P146" s="237"/>
      <c r="Q146" s="237">
        <f t="shared" si="59"/>
        <v>0</v>
      </c>
      <c r="R146" s="303"/>
      <c r="S146" s="303"/>
    </row>
    <row r="147" spans="1:19" s="230" customFormat="1">
      <c r="A147" s="365"/>
      <c r="B147" s="231"/>
      <c r="C147" s="232" t="str">
        <f>'2180 (Reg.) - Price Out '!B160</f>
        <v>WALK IN 76-100' - COMM</v>
      </c>
      <c r="D147" s="233">
        <f>'2180 (Reg.) - Price Out '!I160</f>
        <v>0.4281167346572825</v>
      </c>
      <c r="E147" s="234"/>
      <c r="F147" s="235">
        <f>'2180 (Reg.) - Price Out '!K160</f>
        <v>0</v>
      </c>
      <c r="G147" s="239"/>
      <c r="H147" s="239">
        <f t="shared" si="57"/>
        <v>0</v>
      </c>
      <c r="I147" s="236">
        <f t="shared" si="56"/>
        <v>0</v>
      </c>
      <c r="J147" s="237">
        <f>References!$C$51*'Staff Calcs '!I147</f>
        <v>0</v>
      </c>
      <c r="K147" s="237">
        <f>J147/References!$G$54</f>
        <v>0</v>
      </c>
      <c r="L147" s="237"/>
      <c r="M147" s="237"/>
      <c r="N147" s="237">
        <f t="shared" si="51"/>
        <v>0</v>
      </c>
      <c r="O147" s="237">
        <f t="shared" si="58"/>
        <v>0</v>
      </c>
      <c r="P147" s="237"/>
      <c r="Q147" s="237">
        <f t="shared" si="59"/>
        <v>0</v>
      </c>
      <c r="R147" s="303"/>
      <c r="S147" s="303"/>
    </row>
    <row r="148" spans="1:19" s="230" customFormat="1">
      <c r="A148" s="365"/>
      <c r="B148" s="231"/>
      <c r="C148" s="232" t="str">
        <f>'2180 (Reg.) - Price Out '!B161</f>
        <v>WALK IN 101-125' - COMM</v>
      </c>
      <c r="D148" s="233">
        <f>'2180 (Reg.) - Price Out '!I161</f>
        <v>1.2226478459358765</v>
      </c>
      <c r="E148" s="234"/>
      <c r="F148" s="235">
        <f>'2180 (Reg.) - Price Out '!K161</f>
        <v>0</v>
      </c>
      <c r="G148" s="239"/>
      <c r="H148" s="239">
        <f t="shared" si="57"/>
        <v>0</v>
      </c>
      <c r="I148" s="236">
        <f t="shared" si="56"/>
        <v>0</v>
      </c>
      <c r="J148" s="237">
        <f>References!$C$51*'Staff Calcs '!I148</f>
        <v>0</v>
      </c>
      <c r="K148" s="237">
        <f>J148/References!$G$54</f>
        <v>0</v>
      </c>
      <c r="L148" s="237"/>
      <c r="M148" s="237"/>
      <c r="N148" s="237">
        <f t="shared" si="51"/>
        <v>0</v>
      </c>
      <c r="O148" s="237">
        <f t="shared" si="58"/>
        <v>0</v>
      </c>
      <c r="P148" s="237"/>
      <c r="Q148" s="237">
        <f t="shared" si="59"/>
        <v>0</v>
      </c>
      <c r="R148" s="303"/>
      <c r="S148" s="303"/>
    </row>
    <row r="149" spans="1:19" s="230" customFormat="1">
      <c r="A149" s="365"/>
      <c r="B149" s="231"/>
      <c r="C149" s="232" t="str">
        <f>'2180 (Reg.) - Price Out '!B162</f>
        <v>CLEANING FEE 1.5 YD - COM</v>
      </c>
      <c r="D149" s="233">
        <f>'2180 (Reg.) - Price Out '!I162</f>
        <v>79.95</v>
      </c>
      <c r="E149" s="234"/>
      <c r="F149" s="235">
        <f>'2180 (Reg.) - Price Out '!K162</f>
        <v>0</v>
      </c>
      <c r="G149" s="239"/>
      <c r="H149" s="239">
        <f t="shared" si="57"/>
        <v>0</v>
      </c>
      <c r="I149" s="236">
        <f t="shared" si="56"/>
        <v>0</v>
      </c>
      <c r="J149" s="237">
        <f>References!$C$51*'Staff Calcs '!I149</f>
        <v>0</v>
      </c>
      <c r="K149" s="237">
        <f>J149/References!$G$54</f>
        <v>0</v>
      </c>
      <c r="L149" s="237"/>
      <c r="M149" s="237"/>
      <c r="N149" s="237">
        <f t="shared" si="51"/>
        <v>0</v>
      </c>
      <c r="O149" s="237">
        <f t="shared" si="58"/>
        <v>0</v>
      </c>
      <c r="P149" s="237"/>
      <c r="Q149" s="237">
        <f t="shared" si="59"/>
        <v>0</v>
      </c>
      <c r="R149" s="303"/>
      <c r="S149" s="303"/>
    </row>
    <row r="150" spans="1:19" s="230" customFormat="1">
      <c r="A150" s="365"/>
      <c r="B150" s="231"/>
      <c r="C150" s="232" t="str">
        <f>'2180 (Reg.) - Price Out '!B163</f>
        <v>CLEANING FEE 1 YD - COMM</v>
      </c>
      <c r="D150" s="233">
        <f>'2180 (Reg.) - Price Out '!I163</f>
        <v>0.75</v>
      </c>
      <c r="E150" s="234"/>
      <c r="F150" s="235">
        <f>'2180 (Reg.) - Price Out '!K163</f>
        <v>0</v>
      </c>
      <c r="G150" s="239"/>
      <c r="H150" s="239">
        <f t="shared" si="57"/>
        <v>0</v>
      </c>
      <c r="I150" s="236">
        <f t="shared" si="56"/>
        <v>0</v>
      </c>
      <c r="J150" s="237">
        <f>References!$C$51*'Staff Calcs '!I150</f>
        <v>0</v>
      </c>
      <c r="K150" s="237">
        <f>J150/References!$G$54</f>
        <v>0</v>
      </c>
      <c r="L150" s="237"/>
      <c r="M150" s="237"/>
      <c r="N150" s="237">
        <f t="shared" si="51"/>
        <v>0</v>
      </c>
      <c r="O150" s="237">
        <f t="shared" si="58"/>
        <v>0</v>
      </c>
      <c r="P150" s="237"/>
      <c r="Q150" s="237">
        <f t="shared" si="59"/>
        <v>0</v>
      </c>
      <c r="R150" s="303"/>
      <c r="S150" s="303"/>
    </row>
    <row r="151" spans="1:19" s="230" customFormat="1">
      <c r="A151" s="365"/>
      <c r="B151" s="231"/>
      <c r="C151" s="232" t="str">
        <f>'2180 (Reg.) - Price Out '!B164</f>
        <v>CLEANING FEE 2 YD - COMM</v>
      </c>
      <c r="D151" s="233">
        <f>'2180 (Reg.) - Price Out '!I164</f>
        <v>16.930238095238096</v>
      </c>
      <c r="E151" s="234"/>
      <c r="F151" s="235">
        <f>'2180 (Reg.) - Price Out '!K164</f>
        <v>0</v>
      </c>
      <c r="G151" s="239"/>
      <c r="H151" s="239">
        <f t="shared" si="57"/>
        <v>0</v>
      </c>
      <c r="I151" s="236">
        <f t="shared" si="56"/>
        <v>0</v>
      </c>
      <c r="J151" s="237">
        <f>References!$C$51*'Staff Calcs '!I151</f>
        <v>0</v>
      </c>
      <c r="K151" s="237">
        <f>J151/References!$G$54</f>
        <v>0</v>
      </c>
      <c r="L151" s="237"/>
      <c r="M151" s="237"/>
      <c r="N151" s="237">
        <f t="shared" si="51"/>
        <v>0</v>
      </c>
      <c r="O151" s="237">
        <f t="shared" si="58"/>
        <v>0</v>
      </c>
      <c r="P151" s="237"/>
      <c r="Q151" s="237">
        <f t="shared" si="59"/>
        <v>0</v>
      </c>
      <c r="R151" s="303"/>
      <c r="S151" s="303"/>
    </row>
    <row r="152" spans="1:19" s="230" customFormat="1">
      <c r="A152" s="365"/>
      <c r="B152" s="231"/>
      <c r="C152" s="232" t="str">
        <f>'2180 (Reg.) - Price Out '!B165</f>
        <v>CLEANING FEE 3 YD - COMM</v>
      </c>
      <c r="D152" s="233">
        <f>'2180 (Reg.) - Price Out '!I165</f>
        <v>0.25</v>
      </c>
      <c r="E152" s="234"/>
      <c r="F152" s="235">
        <f>'2180 (Reg.) - Price Out '!K165</f>
        <v>0</v>
      </c>
      <c r="G152" s="239"/>
      <c r="H152" s="239">
        <f t="shared" si="57"/>
        <v>0</v>
      </c>
      <c r="I152" s="236">
        <f t="shared" si="56"/>
        <v>0</v>
      </c>
      <c r="J152" s="237">
        <f>References!$C$51*'Staff Calcs '!I152</f>
        <v>0</v>
      </c>
      <c r="K152" s="237">
        <f>J152/References!$G$54</f>
        <v>0</v>
      </c>
      <c r="L152" s="237"/>
      <c r="M152" s="237"/>
      <c r="N152" s="237">
        <f t="shared" si="51"/>
        <v>0</v>
      </c>
      <c r="O152" s="237">
        <f t="shared" si="58"/>
        <v>0</v>
      </c>
      <c r="P152" s="237"/>
      <c r="Q152" s="237">
        <f t="shared" si="59"/>
        <v>0</v>
      </c>
      <c r="R152" s="303"/>
      <c r="S152" s="303"/>
    </row>
    <row r="153" spans="1:19" s="230" customFormat="1">
      <c r="A153" s="365"/>
      <c r="B153" s="231"/>
      <c r="C153" s="232" t="str">
        <f>'2180 (Reg.) - Price Out '!B166</f>
        <v>CLEANING FEE 4 YD - COMM</v>
      </c>
      <c r="D153" s="233">
        <f>'2180 (Reg.) - Price Out '!I166</f>
        <v>0.25</v>
      </c>
      <c r="E153" s="234"/>
      <c r="F153" s="235">
        <f>'2180 (Reg.) - Price Out '!K166</f>
        <v>0</v>
      </c>
      <c r="G153" s="239"/>
      <c r="H153" s="239">
        <f t="shared" si="57"/>
        <v>0</v>
      </c>
      <c r="I153" s="236">
        <f t="shared" si="56"/>
        <v>0</v>
      </c>
      <c r="J153" s="237">
        <f>References!$C$51*'Staff Calcs '!I153</f>
        <v>0</v>
      </c>
      <c r="K153" s="237">
        <f>J153/References!$G$54</f>
        <v>0</v>
      </c>
      <c r="L153" s="237"/>
      <c r="M153" s="237"/>
      <c r="N153" s="237">
        <f t="shared" si="51"/>
        <v>0</v>
      </c>
      <c r="O153" s="237">
        <f t="shared" si="58"/>
        <v>0</v>
      </c>
      <c r="P153" s="237"/>
      <c r="Q153" s="237">
        <f t="shared" si="59"/>
        <v>0</v>
      </c>
      <c r="R153" s="303"/>
      <c r="S153" s="303"/>
    </row>
    <row r="154" spans="1:19" s="230" customFormat="1">
      <c r="A154" s="365"/>
      <c r="B154" s="231"/>
      <c r="C154" s="232" t="str">
        <f>'2180 (Reg.) - Price Out '!B167</f>
        <v>CLEANING FEE 6 YD - COMM</v>
      </c>
      <c r="D154" s="233">
        <f>'2180 (Reg.) - Price Out '!I167</f>
        <v>0.58333333333333337</v>
      </c>
      <c r="E154" s="234"/>
      <c r="F154" s="235">
        <f>'2180 (Reg.) - Price Out '!K167</f>
        <v>0</v>
      </c>
      <c r="G154" s="239"/>
      <c r="H154" s="239">
        <f t="shared" si="57"/>
        <v>0</v>
      </c>
      <c r="I154" s="236">
        <f t="shared" si="56"/>
        <v>0</v>
      </c>
      <c r="J154" s="237">
        <f>References!$C$51*'Staff Calcs '!I154</f>
        <v>0</v>
      </c>
      <c r="K154" s="237">
        <f>J154/References!$G$54</f>
        <v>0</v>
      </c>
      <c r="L154" s="237"/>
      <c r="M154" s="237"/>
      <c r="N154" s="237">
        <f t="shared" si="51"/>
        <v>0</v>
      </c>
      <c r="O154" s="237">
        <f t="shared" si="58"/>
        <v>0</v>
      </c>
      <c r="P154" s="237"/>
      <c r="Q154" s="237">
        <f t="shared" si="59"/>
        <v>0</v>
      </c>
      <c r="R154" s="303"/>
      <c r="S154" s="303"/>
    </row>
    <row r="155" spans="1:19" s="230" customFormat="1">
      <c r="A155" s="365"/>
      <c r="B155" s="231"/>
      <c r="C155" s="232" t="str">
        <f>'2180 (Reg.) - Price Out '!B168</f>
        <v>CONTAINER CLEANING FEE -</v>
      </c>
      <c r="D155" s="233">
        <f>'2180 (Reg.) - Price Out '!I168</f>
        <v>70.242857142857147</v>
      </c>
      <c r="E155" s="234"/>
      <c r="F155" s="235">
        <f>'2180 (Reg.) - Price Out '!K168</f>
        <v>0</v>
      </c>
      <c r="G155" s="239"/>
      <c r="H155" s="239">
        <f t="shared" si="57"/>
        <v>0</v>
      </c>
      <c r="I155" s="236">
        <f t="shared" si="56"/>
        <v>0</v>
      </c>
      <c r="J155" s="237">
        <f>References!$C$51*'Staff Calcs '!I155</f>
        <v>0</v>
      </c>
      <c r="K155" s="237">
        <f>J155/References!$G$54</f>
        <v>0</v>
      </c>
      <c r="L155" s="237"/>
      <c r="M155" s="237"/>
      <c r="N155" s="237">
        <f t="shared" si="51"/>
        <v>0</v>
      </c>
      <c r="O155" s="237">
        <f t="shared" si="58"/>
        <v>0</v>
      </c>
      <c r="P155" s="237"/>
      <c r="Q155" s="237">
        <f t="shared" si="59"/>
        <v>0</v>
      </c>
      <c r="R155" s="303"/>
      <c r="S155" s="303"/>
    </row>
    <row r="156" spans="1:19" s="230" customFormat="1">
      <c r="A156" s="365"/>
      <c r="B156" s="231"/>
      <c r="C156" s="232" t="str">
        <f>'2180 (Reg.) - Price Out '!B169</f>
        <v>DELIVERY FEE 1.5 YD TEMP</v>
      </c>
      <c r="D156" s="233">
        <f>'2180 (Reg.) - Price Out '!I169</f>
        <v>1.25</v>
      </c>
      <c r="E156" s="234"/>
      <c r="F156" s="235">
        <f>'2180 (Reg.) - Price Out '!K169</f>
        <v>0</v>
      </c>
      <c r="G156" s="239"/>
      <c r="H156" s="239">
        <f t="shared" si="57"/>
        <v>0</v>
      </c>
      <c r="I156" s="236">
        <f t="shared" si="56"/>
        <v>0</v>
      </c>
      <c r="J156" s="237">
        <f>References!$C$51*'Staff Calcs '!I156</f>
        <v>0</v>
      </c>
      <c r="K156" s="237">
        <f>J156/References!$G$54</f>
        <v>0</v>
      </c>
      <c r="L156" s="237"/>
      <c r="M156" s="237"/>
      <c r="N156" s="237">
        <f t="shared" si="51"/>
        <v>0</v>
      </c>
      <c r="O156" s="237">
        <f t="shared" si="58"/>
        <v>0</v>
      </c>
      <c r="P156" s="237"/>
      <c r="Q156" s="237">
        <f t="shared" si="59"/>
        <v>0</v>
      </c>
      <c r="R156" s="303"/>
      <c r="S156" s="303"/>
    </row>
    <row r="157" spans="1:19" s="230" customFormat="1">
      <c r="A157" s="365"/>
      <c r="B157" s="231"/>
      <c r="C157" s="232" t="str">
        <f>'2180 (Reg.) - Price Out '!B170</f>
        <v>DELIVERY FEE 1 YD TEMP -</v>
      </c>
      <c r="D157" s="233">
        <f>'2180 (Reg.) - Price Out '!I170</f>
        <v>1.5</v>
      </c>
      <c r="E157" s="234"/>
      <c r="F157" s="235">
        <f>'2180 (Reg.) - Price Out '!K170</f>
        <v>0</v>
      </c>
      <c r="G157" s="239"/>
      <c r="H157" s="239">
        <f t="shared" si="57"/>
        <v>0</v>
      </c>
      <c r="I157" s="236">
        <f t="shared" si="56"/>
        <v>0</v>
      </c>
      <c r="J157" s="237">
        <f>References!$C$51*'Staff Calcs '!I157</f>
        <v>0</v>
      </c>
      <c r="K157" s="237">
        <f>J157/References!$G$54</f>
        <v>0</v>
      </c>
      <c r="L157" s="237"/>
      <c r="M157" s="237"/>
      <c r="N157" s="237">
        <f t="shared" si="51"/>
        <v>0</v>
      </c>
      <c r="O157" s="237">
        <f t="shared" si="58"/>
        <v>0</v>
      </c>
      <c r="P157" s="237"/>
      <c r="Q157" s="237">
        <f t="shared" si="59"/>
        <v>0</v>
      </c>
      <c r="R157" s="303"/>
      <c r="S157" s="303"/>
    </row>
    <row r="158" spans="1:19" s="230" customFormat="1">
      <c r="A158" s="365"/>
      <c r="B158" s="231"/>
      <c r="C158" s="232" t="str">
        <f>'2180 (Reg.) - Price Out '!B171</f>
        <v>DELIVERY FEE 2 YD TEMP -</v>
      </c>
      <c r="D158" s="233">
        <f>'2180 (Reg.) - Price Out '!I171</f>
        <v>20.833333333333332</v>
      </c>
      <c r="E158" s="234"/>
      <c r="F158" s="235">
        <f>'2180 (Reg.) - Price Out '!K171</f>
        <v>0</v>
      </c>
      <c r="G158" s="239"/>
      <c r="H158" s="239">
        <f t="shared" si="57"/>
        <v>0</v>
      </c>
      <c r="I158" s="236">
        <f t="shared" si="56"/>
        <v>0</v>
      </c>
      <c r="J158" s="237">
        <f>References!$C$51*'Staff Calcs '!I158</f>
        <v>0</v>
      </c>
      <c r="K158" s="237">
        <f>J158/References!$G$54</f>
        <v>0</v>
      </c>
      <c r="L158" s="237"/>
      <c r="M158" s="237"/>
      <c r="N158" s="237">
        <f t="shared" si="51"/>
        <v>0</v>
      </c>
      <c r="O158" s="237">
        <f t="shared" si="58"/>
        <v>0</v>
      </c>
      <c r="P158" s="237"/>
      <c r="Q158" s="237">
        <f t="shared" si="59"/>
        <v>0</v>
      </c>
      <c r="R158" s="303"/>
      <c r="S158" s="303"/>
    </row>
    <row r="159" spans="1:19" s="230" customFormat="1">
      <c r="A159" s="365"/>
      <c r="B159" s="231"/>
      <c r="C159" s="232" t="str">
        <f>'2180 (Reg.) - Price Out '!B172</f>
        <v>DELIVERY FEE 3 YD TEMP - COMM</v>
      </c>
      <c r="D159" s="233">
        <f>'2180 (Reg.) - Price Out '!I172</f>
        <v>0.41666666666666669</v>
      </c>
      <c r="E159" s="234"/>
      <c r="F159" s="235">
        <f>'2180 (Reg.) - Price Out '!K172</f>
        <v>0</v>
      </c>
      <c r="G159" s="239"/>
      <c r="H159" s="239">
        <f t="shared" si="57"/>
        <v>0</v>
      </c>
      <c r="I159" s="236">
        <f t="shared" si="56"/>
        <v>0</v>
      </c>
      <c r="J159" s="237">
        <f>References!$C$51*'Staff Calcs '!I159</f>
        <v>0</v>
      </c>
      <c r="K159" s="237">
        <f>J159/References!$G$54</f>
        <v>0</v>
      </c>
      <c r="L159" s="237"/>
      <c r="M159" s="237"/>
      <c r="N159" s="237">
        <f t="shared" si="51"/>
        <v>0</v>
      </c>
      <c r="O159" s="237">
        <f t="shared" si="58"/>
        <v>0</v>
      </c>
      <c r="P159" s="237"/>
      <c r="Q159" s="237">
        <f t="shared" si="59"/>
        <v>0</v>
      </c>
      <c r="R159" s="303"/>
      <c r="S159" s="303"/>
    </row>
    <row r="160" spans="1:19" s="230" customFormat="1">
      <c r="A160" s="365"/>
      <c r="B160" s="231"/>
      <c r="C160" s="232" t="str">
        <f>'2180 (Reg.) - Price Out '!B173</f>
        <v>DELIVERY FEE 4 YD TEMP - COMM</v>
      </c>
      <c r="D160" s="233">
        <f>'2180 (Reg.) - Price Out '!I173</f>
        <v>0.41666666666666669</v>
      </c>
      <c r="E160" s="234"/>
      <c r="F160" s="235">
        <f>'2180 (Reg.) - Price Out '!K173</f>
        <v>0</v>
      </c>
      <c r="G160" s="239"/>
      <c r="H160" s="239">
        <f t="shared" si="57"/>
        <v>0</v>
      </c>
      <c r="I160" s="236">
        <f t="shared" si="56"/>
        <v>0</v>
      </c>
      <c r="J160" s="237">
        <f>References!$C$51*'Staff Calcs '!I160</f>
        <v>0</v>
      </c>
      <c r="K160" s="237">
        <f>J160/References!$G$54</f>
        <v>0</v>
      </c>
      <c r="L160" s="237"/>
      <c r="M160" s="237"/>
      <c r="N160" s="237">
        <f t="shared" si="51"/>
        <v>0</v>
      </c>
      <c r="O160" s="237">
        <f t="shared" si="58"/>
        <v>0</v>
      </c>
      <c r="P160" s="237"/>
      <c r="Q160" s="237">
        <f t="shared" si="59"/>
        <v>0</v>
      </c>
      <c r="R160" s="303"/>
      <c r="S160" s="303"/>
    </row>
    <row r="161" spans="1:20" s="230" customFormat="1">
      <c r="A161" s="365"/>
      <c r="B161" s="231"/>
      <c r="C161" s="232" t="str">
        <f>'2180 (Reg.) - Price Out '!B174</f>
        <v>DELIVERY FEE 6 YD TEMP -</v>
      </c>
      <c r="D161" s="233">
        <f>'2180 (Reg.) - Price Out '!I174</f>
        <v>0.66769547325102874</v>
      </c>
      <c r="E161" s="234"/>
      <c r="F161" s="235">
        <f>'2180 (Reg.) - Price Out '!K174</f>
        <v>0</v>
      </c>
      <c r="G161" s="239"/>
      <c r="H161" s="239">
        <f t="shared" si="57"/>
        <v>0</v>
      </c>
      <c r="I161" s="236">
        <f t="shared" si="56"/>
        <v>0</v>
      </c>
      <c r="J161" s="237">
        <f>References!$C$51*'Staff Calcs '!I161</f>
        <v>0</v>
      </c>
      <c r="K161" s="237">
        <f>J161/References!$G$54</f>
        <v>0</v>
      </c>
      <c r="L161" s="237"/>
      <c r="M161" s="237"/>
      <c r="N161" s="237">
        <f t="shared" si="51"/>
        <v>0</v>
      </c>
      <c r="O161" s="237">
        <f t="shared" si="58"/>
        <v>0</v>
      </c>
      <c r="P161" s="237"/>
      <c r="Q161" s="237">
        <f t="shared" si="59"/>
        <v>0</v>
      </c>
      <c r="R161" s="303"/>
      <c r="S161" s="303"/>
    </row>
    <row r="162" spans="1:20" s="230" customFormat="1">
      <c r="A162" s="365"/>
      <c r="B162" s="231"/>
      <c r="C162" s="232" t="str">
        <f>'2180 (Reg.) - Price Out '!B175</f>
        <v>DELIVERY FEE - COMM</v>
      </c>
      <c r="D162" s="233">
        <f>'2180 (Reg.) - Price Out '!I175</f>
        <v>1.1365891472868217</v>
      </c>
      <c r="E162" s="234"/>
      <c r="F162" s="235">
        <f>'2180 (Reg.) - Price Out '!K175</f>
        <v>0</v>
      </c>
      <c r="G162" s="239"/>
      <c r="H162" s="239">
        <f t="shared" si="57"/>
        <v>0</v>
      </c>
      <c r="I162" s="236">
        <f t="shared" si="56"/>
        <v>0</v>
      </c>
      <c r="J162" s="237">
        <f>References!$C$51*'Staff Calcs '!I162</f>
        <v>0</v>
      </c>
      <c r="K162" s="237">
        <f>J162/References!$G$54</f>
        <v>0</v>
      </c>
      <c r="L162" s="237"/>
      <c r="M162" s="237"/>
      <c r="N162" s="237">
        <f t="shared" si="51"/>
        <v>0</v>
      </c>
      <c r="O162" s="237">
        <f t="shared" si="58"/>
        <v>0</v>
      </c>
      <c r="P162" s="237"/>
      <c r="Q162" s="237">
        <f t="shared" si="59"/>
        <v>0</v>
      </c>
      <c r="R162" s="303"/>
      <c r="S162" s="303"/>
    </row>
    <row r="163" spans="1:20" s="230" customFormat="1">
      <c r="A163" s="365"/>
      <c r="B163" s="231"/>
      <c r="C163" s="232" t="str">
        <f>'2180 (Reg.) - Price Out '!B176</f>
        <v>REINSTATE FEE - COMM</v>
      </c>
      <c r="D163" s="233">
        <f>'2180 (Reg.) - Price Out '!I176</f>
        <v>33.166666666666664</v>
      </c>
      <c r="E163" s="234"/>
      <c r="F163" s="235">
        <f>'2180 (Reg.) - Price Out '!K176</f>
        <v>0</v>
      </c>
      <c r="G163" s="239"/>
      <c r="H163" s="239">
        <f t="shared" si="57"/>
        <v>0</v>
      </c>
      <c r="I163" s="236">
        <f t="shared" si="56"/>
        <v>0</v>
      </c>
      <c r="J163" s="237">
        <f>References!$C$51*'Staff Calcs '!I163</f>
        <v>0</v>
      </c>
      <c r="K163" s="237">
        <f>J163/References!$G$54</f>
        <v>0</v>
      </c>
      <c r="L163" s="237"/>
      <c r="M163" s="237"/>
      <c r="N163" s="237">
        <f t="shared" si="51"/>
        <v>0</v>
      </c>
      <c r="O163" s="237">
        <f t="shared" si="58"/>
        <v>0</v>
      </c>
      <c r="P163" s="237"/>
      <c r="Q163" s="237">
        <f t="shared" si="59"/>
        <v>0</v>
      </c>
      <c r="R163" s="303"/>
      <c r="S163" s="303"/>
    </row>
    <row r="164" spans="1:20" s="230" customFormat="1">
      <c r="A164" s="365"/>
      <c r="B164" s="231"/>
      <c r="C164" s="232" t="str">
        <f>'2180 (Reg.) - Price Out '!B177</f>
        <v>RETURN TRIP FEE CAN - COM</v>
      </c>
      <c r="D164" s="233">
        <f>'2180 (Reg.) - Price Out '!I177</f>
        <v>0.16666666666666666</v>
      </c>
      <c r="E164" s="234"/>
      <c r="F164" s="235">
        <f>'2180 (Reg.) - Price Out '!K177</f>
        <v>0</v>
      </c>
      <c r="G164" s="239"/>
      <c r="H164" s="239">
        <f t="shared" si="57"/>
        <v>0</v>
      </c>
      <c r="I164" s="236">
        <f t="shared" si="56"/>
        <v>0</v>
      </c>
      <c r="J164" s="237">
        <f>References!$C$51*'Staff Calcs '!I164</f>
        <v>0</v>
      </c>
      <c r="K164" s="237">
        <f>J164/References!$G$54</f>
        <v>0</v>
      </c>
      <c r="L164" s="237"/>
      <c r="M164" s="237"/>
      <c r="N164" s="237">
        <f t="shared" si="51"/>
        <v>0</v>
      </c>
      <c r="O164" s="237">
        <f t="shared" si="58"/>
        <v>0</v>
      </c>
      <c r="P164" s="237"/>
      <c r="Q164" s="237">
        <f t="shared" si="59"/>
        <v>0</v>
      </c>
      <c r="R164" s="303"/>
      <c r="S164" s="303"/>
    </row>
    <row r="165" spans="1:20" s="230" customFormat="1">
      <c r="A165" s="365"/>
      <c r="B165" s="231"/>
      <c r="C165" s="232" t="str">
        <f>'2180 (Reg.) - Price Out '!B178</f>
        <v>RETURN TRIP 65 GL - COMM</v>
      </c>
      <c r="D165" s="233">
        <f>'2180 (Reg.) - Price Out '!I178</f>
        <v>0.58333333333333337</v>
      </c>
      <c r="E165" s="234"/>
      <c r="F165" s="235">
        <f>'2180 (Reg.) - Price Out '!K178</f>
        <v>0</v>
      </c>
      <c r="G165" s="239"/>
      <c r="H165" s="239">
        <f t="shared" si="57"/>
        <v>0</v>
      </c>
      <c r="I165" s="236">
        <f t="shared" si="56"/>
        <v>0</v>
      </c>
      <c r="J165" s="237">
        <f>References!$C$51*'Staff Calcs '!I165</f>
        <v>0</v>
      </c>
      <c r="K165" s="237">
        <f>J165/References!$G$54</f>
        <v>0</v>
      </c>
      <c r="L165" s="237"/>
      <c r="M165" s="237"/>
      <c r="N165" s="237">
        <f t="shared" si="51"/>
        <v>0</v>
      </c>
      <c r="O165" s="237">
        <f t="shared" si="58"/>
        <v>0</v>
      </c>
      <c r="P165" s="237"/>
      <c r="Q165" s="237">
        <f t="shared" si="59"/>
        <v>0</v>
      </c>
      <c r="R165" s="303"/>
      <c r="S165" s="303"/>
    </row>
    <row r="166" spans="1:20" s="230" customFormat="1">
      <c r="A166" s="365"/>
      <c r="B166" s="231"/>
      <c r="C166" s="232" t="str">
        <f>'2180 (Reg.) - Price Out '!B179</f>
        <v>RETURN TRIP 95 GL - COMM</v>
      </c>
      <c r="D166" s="233">
        <f>'2180 (Reg.) - Price Out '!I179</f>
        <v>0</v>
      </c>
      <c r="E166" s="234"/>
      <c r="F166" s="235">
        <f>'2180 (Reg.) - Price Out '!K179</f>
        <v>0</v>
      </c>
      <c r="G166" s="239"/>
      <c r="H166" s="239">
        <f t="shared" si="57"/>
        <v>0</v>
      </c>
      <c r="I166" s="236">
        <f t="shared" si="56"/>
        <v>0</v>
      </c>
      <c r="J166" s="237">
        <f>References!$C$51*'Staff Calcs '!I166</f>
        <v>0</v>
      </c>
      <c r="K166" s="237">
        <f>J166/References!$G$54</f>
        <v>0</v>
      </c>
      <c r="L166" s="237"/>
      <c r="M166" s="237"/>
      <c r="N166" s="237">
        <f t="shared" si="51"/>
        <v>0</v>
      </c>
      <c r="O166" s="237">
        <f t="shared" si="58"/>
        <v>0</v>
      </c>
      <c r="P166" s="237"/>
      <c r="Q166" s="237">
        <f t="shared" si="59"/>
        <v>0</v>
      </c>
      <c r="R166" s="303"/>
      <c r="S166" s="303"/>
    </row>
    <row r="167" spans="1:20" s="230" customFormat="1">
      <c r="A167" s="365"/>
      <c r="B167" s="231"/>
      <c r="C167" s="232" t="str">
        <f>'2180 (Reg.) - Price Out '!B180</f>
        <v>RETURN TRIP FEE - COMM</v>
      </c>
      <c r="D167" s="233">
        <f>'2180 (Reg.) - Price Out '!I180</f>
        <v>11.483333333333334</v>
      </c>
      <c r="E167" s="234"/>
      <c r="F167" s="235">
        <f>'2180 (Reg.) - Price Out '!K180</f>
        <v>0</v>
      </c>
      <c r="G167" s="239"/>
      <c r="H167" s="239">
        <f t="shared" si="57"/>
        <v>0</v>
      </c>
      <c r="I167" s="236">
        <f t="shared" si="56"/>
        <v>0</v>
      </c>
      <c r="J167" s="237">
        <f>References!$C$51*'Staff Calcs '!I167</f>
        <v>0</v>
      </c>
      <c r="K167" s="237">
        <f>J167/References!$G$54</f>
        <v>0</v>
      </c>
      <c r="L167" s="237"/>
      <c r="M167" s="237"/>
      <c r="N167" s="237">
        <f t="shared" si="51"/>
        <v>0</v>
      </c>
      <c r="O167" s="237">
        <f t="shared" si="58"/>
        <v>0</v>
      </c>
      <c r="P167" s="237"/>
      <c r="Q167" s="237">
        <f t="shared" si="59"/>
        <v>0</v>
      </c>
      <c r="R167" s="303"/>
      <c r="S167" s="303"/>
    </row>
    <row r="168" spans="1:20" s="230" customFormat="1">
      <c r="A168" s="365"/>
      <c r="B168" s="231">
        <v>33</v>
      </c>
      <c r="C168" s="232" t="str">
        <f>'2180 (Reg.) - Price Out '!B181</f>
        <v>SPECIAL PICK UP 1.5 YD -</v>
      </c>
      <c r="D168" s="233">
        <f>'2180 (Reg.) - Price Out '!I181</f>
        <v>1.5833333333333333</v>
      </c>
      <c r="E168" s="234"/>
      <c r="F168" s="235">
        <f>'2180 (Reg.) - Price Out '!K181</f>
        <v>19</v>
      </c>
      <c r="G168" s="239">
        <f>References!B30</f>
        <v>250</v>
      </c>
      <c r="H168" s="239">
        <f t="shared" si="57"/>
        <v>4750</v>
      </c>
      <c r="I168" s="236">
        <f t="shared" si="56"/>
        <v>3914.7509237847944</v>
      </c>
      <c r="J168" s="237">
        <f>References!$C$51*'Staff Calcs '!I168</f>
        <v>1.7029166518464045</v>
      </c>
      <c r="K168" s="237">
        <f>J168/References!$G$54</f>
        <v>1.7363854820121896</v>
      </c>
      <c r="L168" s="237">
        <f t="shared" ref="L168:L175" si="60">(K168/F168)</f>
        <v>9.1388709579588931E-2</v>
      </c>
      <c r="M168" s="237">
        <f>'Rate Sheet'!C129</f>
        <v>69.06</v>
      </c>
      <c r="N168" s="237">
        <f>L168+M168</f>
        <v>69.151388709579592</v>
      </c>
      <c r="O168" s="237">
        <f t="shared" si="58"/>
        <v>1312.14</v>
      </c>
      <c r="P168" s="237">
        <f t="shared" ref="P168:P175" si="61">F168*N168</f>
        <v>1313.8763854820122</v>
      </c>
      <c r="Q168" s="237">
        <f t="shared" si="59"/>
        <v>1.7363854820121105</v>
      </c>
      <c r="R168" s="303">
        <f t="shared" ref="R168:R175" si="62">Q168-K168</f>
        <v>-7.9047879353311146E-14</v>
      </c>
      <c r="S168" s="303"/>
      <c r="T168" s="351"/>
    </row>
    <row r="169" spans="1:20" s="230" customFormat="1">
      <c r="A169" s="365"/>
      <c r="B169" s="231">
        <v>33</v>
      </c>
      <c r="C169" s="232" t="str">
        <f>'2180 (Reg.) - Price Out '!B182</f>
        <v>SPECIAL PICK UP 1 YD - CO</v>
      </c>
      <c r="D169" s="233">
        <f>'2180 (Reg.) - Price Out '!I182</f>
        <v>4.5839266076286398</v>
      </c>
      <c r="E169" s="234"/>
      <c r="F169" s="235">
        <f>'2180 (Reg.) - Price Out '!K182</f>
        <v>55.007119291543674</v>
      </c>
      <c r="G169" s="239">
        <f>References!B29</f>
        <v>175</v>
      </c>
      <c r="H169" s="239">
        <f t="shared" si="57"/>
        <v>9626.2458760201425</v>
      </c>
      <c r="I169" s="236">
        <f t="shared" si="56"/>
        <v>7933.5484075219838</v>
      </c>
      <c r="J169" s="237">
        <f>References!$C$51*'Staff Calcs '!I169</f>
        <v>3.4510935572721011</v>
      </c>
      <c r="K169" s="237">
        <f>J169/References!$G$54</f>
        <v>3.5189207548212815</v>
      </c>
      <c r="L169" s="237">
        <f t="shared" si="60"/>
        <v>6.3972096705712245E-2</v>
      </c>
      <c r="M169" s="237">
        <f>'Rate Sheet'!C128</f>
        <v>62.41</v>
      </c>
      <c r="N169" s="237">
        <f t="shared" si="51"/>
        <v>62.473972096705708</v>
      </c>
      <c r="O169" s="237">
        <f t="shared" si="58"/>
        <v>3432.9943149852406</v>
      </c>
      <c r="P169" s="237">
        <f t="shared" si="61"/>
        <v>3436.5132357400616</v>
      </c>
      <c r="Q169" s="237">
        <f t="shared" si="59"/>
        <v>3.5189207548210106</v>
      </c>
      <c r="R169" s="303">
        <f t="shared" si="62"/>
        <v>-2.708944180085382E-13</v>
      </c>
      <c r="S169" s="303"/>
      <c r="T169" s="351"/>
    </row>
    <row r="170" spans="1:20" s="230" customFormat="1">
      <c r="A170" s="365"/>
      <c r="B170" s="231">
        <v>33</v>
      </c>
      <c r="C170" s="232" t="str">
        <f>'2180 (Reg.) - Price Out '!B183</f>
        <v>SPECIAL PICK UP 2 YD - CO</v>
      </c>
      <c r="D170" s="233">
        <f>'2180 (Reg.) - Price Out '!I183</f>
        <v>5.5839766708519605</v>
      </c>
      <c r="E170" s="234"/>
      <c r="F170" s="235">
        <f>'2180 (Reg.) - Price Out '!K183</f>
        <v>67.007720050223526</v>
      </c>
      <c r="G170" s="239">
        <f>References!B31</f>
        <v>324</v>
      </c>
      <c r="H170" s="239">
        <f t="shared" si="57"/>
        <v>21710.501296272421</v>
      </c>
      <c r="I170" s="236">
        <f t="shared" si="56"/>
        <v>17892.885264297565</v>
      </c>
      <c r="J170" s="237">
        <f>References!$C$51*'Staff Calcs '!I170</f>
        <v>7.7834050899695271</v>
      </c>
      <c r="K170" s="237">
        <f>J170/References!$G$54</f>
        <v>7.9363787911693162</v>
      </c>
      <c r="L170" s="237">
        <f t="shared" si="60"/>
        <v>0.11843976761514723</v>
      </c>
      <c r="M170" s="237">
        <f>'Rate Sheet'!C130</f>
        <v>76.77</v>
      </c>
      <c r="N170" s="237">
        <f t="shared" si="51"/>
        <v>76.888439767615139</v>
      </c>
      <c r="O170" s="237">
        <f t="shared" si="58"/>
        <v>5144.1826682556602</v>
      </c>
      <c r="P170" s="237">
        <f t="shared" si="61"/>
        <v>5152.1190470468291</v>
      </c>
      <c r="Q170" s="237">
        <f t="shared" si="59"/>
        <v>7.9363787911688632</v>
      </c>
      <c r="R170" s="303">
        <f t="shared" si="62"/>
        <v>-4.5297099404706387E-13</v>
      </c>
      <c r="S170" s="303"/>
      <c r="T170" s="351"/>
    </row>
    <row r="171" spans="1:20" s="230" customFormat="1">
      <c r="A171" s="365"/>
      <c r="B171" s="231">
        <v>33</v>
      </c>
      <c r="C171" s="232" t="str">
        <f>'2180 (Reg.) - Price Out '!B184</f>
        <v>SPECIAL PICK UP 3 YD - CO</v>
      </c>
      <c r="D171" s="233">
        <f>'2180 (Reg.) - Price Out '!I184</f>
        <v>1.75</v>
      </c>
      <c r="E171" s="234"/>
      <c r="F171" s="235">
        <f>'2180 (Reg.) - Price Out '!K184</f>
        <v>21</v>
      </c>
      <c r="G171" s="239">
        <f>References!B32</f>
        <v>473</v>
      </c>
      <c r="H171" s="239">
        <f t="shared" si="57"/>
        <v>9933</v>
      </c>
      <c r="I171" s="236">
        <f t="shared" si="56"/>
        <v>8186.362300200919</v>
      </c>
      <c r="J171" s="237">
        <f>References!$C$51*'Staff Calcs '!I171</f>
        <v>3.5610676005874393</v>
      </c>
      <c r="K171" s="237">
        <f>J171/References!$G$54</f>
        <v>3.6310562090162271</v>
      </c>
      <c r="L171" s="237">
        <f t="shared" si="60"/>
        <v>0.17290743852458224</v>
      </c>
      <c r="M171" s="237">
        <f>'Rate Sheet'!C131</f>
        <v>88.04</v>
      </c>
      <c r="N171" s="237">
        <f t="shared" si="51"/>
        <v>88.212907438524581</v>
      </c>
      <c r="O171" s="237">
        <f t="shared" si="58"/>
        <v>1848.8400000000001</v>
      </c>
      <c r="P171" s="237">
        <f t="shared" si="61"/>
        <v>1852.4710562090163</v>
      </c>
      <c r="Q171" s="237">
        <f t="shared" si="59"/>
        <v>3.6310562090161511</v>
      </c>
      <c r="R171" s="303">
        <f t="shared" si="62"/>
        <v>-7.5939254884360707E-14</v>
      </c>
      <c r="S171" s="303"/>
      <c r="T171" s="351"/>
    </row>
    <row r="172" spans="1:20" s="230" customFormat="1">
      <c r="A172" s="365"/>
      <c r="B172" s="231">
        <v>33</v>
      </c>
      <c r="C172" s="232" t="str">
        <f>'2180 (Reg.) - Price Out '!B185</f>
        <v>SPECIAL PICK UP 4 YD - CO</v>
      </c>
      <c r="D172" s="233">
        <f>'2180 (Reg.) - Price Out '!I185</f>
        <v>5.916666666666667</v>
      </c>
      <c r="E172" s="234"/>
      <c r="F172" s="235">
        <f>'2180 (Reg.) - Price Out '!K185</f>
        <v>71</v>
      </c>
      <c r="G172" s="239">
        <f>References!B33</f>
        <v>613</v>
      </c>
      <c r="H172" s="239">
        <f t="shared" si="57"/>
        <v>43523</v>
      </c>
      <c r="I172" s="236">
        <f t="shared" si="56"/>
        <v>35869.832517028553</v>
      </c>
      <c r="J172" s="237">
        <f>References!$C$51*'Staff Calcs '!I172</f>
        <v>15.603377144907594</v>
      </c>
      <c r="K172" s="237">
        <f>J172/References!$G$54</f>
        <v>15.910043228129796</v>
      </c>
      <c r="L172" s="237">
        <f t="shared" si="60"/>
        <v>0.22408511588915206</v>
      </c>
      <c r="M172" s="237">
        <f>'Rate Sheet'!C132</f>
        <v>101.15</v>
      </c>
      <c r="N172" s="237">
        <f t="shared" si="51"/>
        <v>101.37408511588916</v>
      </c>
      <c r="O172" s="237">
        <f t="shared" si="58"/>
        <v>7181.6500000000005</v>
      </c>
      <c r="P172" s="237">
        <f t="shared" si="61"/>
        <v>7197.5600432281299</v>
      </c>
      <c r="Q172" s="237">
        <f t="shared" si="59"/>
        <v>15.910043228129325</v>
      </c>
      <c r="R172" s="303">
        <f t="shared" si="62"/>
        <v>-4.7073456244106637E-13</v>
      </c>
      <c r="S172" s="303"/>
      <c r="T172" s="351"/>
    </row>
    <row r="173" spans="1:20" s="230" customFormat="1">
      <c r="A173" s="365"/>
      <c r="B173" s="231">
        <v>33</v>
      </c>
      <c r="C173" s="232" t="str">
        <f>'2180 (Reg.) - Price Out '!B186</f>
        <v>SPECIAL PICK UP 6 YD - CO</v>
      </c>
      <c r="D173" s="233">
        <f>'2180 (Reg.) - Price Out '!I186</f>
        <v>10.305610703080923</v>
      </c>
      <c r="E173" s="234"/>
      <c r="F173" s="235">
        <f>'2180 (Reg.) - Price Out '!K186</f>
        <v>123.66732843697108</v>
      </c>
      <c r="G173" s="239">
        <f>References!B34</f>
        <v>840</v>
      </c>
      <c r="H173" s="239">
        <f t="shared" si="57"/>
        <v>103880.5558870557</v>
      </c>
      <c r="I173" s="236">
        <f t="shared" si="56"/>
        <v>85614.000446764054</v>
      </c>
      <c r="J173" s="237">
        <f>References!$C$51*'Staff Calcs '!I173</f>
        <v>37.242090194342779</v>
      </c>
      <c r="K173" s="237">
        <f>J173/References!$G$54</f>
        <v>37.97403981171356</v>
      </c>
      <c r="L173" s="237">
        <f t="shared" si="60"/>
        <v>0.30706606418741877</v>
      </c>
      <c r="M173" s="237">
        <f>'Rate Sheet'!C133</f>
        <v>119.37</v>
      </c>
      <c r="N173" s="237">
        <f t="shared" si="51"/>
        <v>119.67706606418743</v>
      </c>
      <c r="O173" s="237">
        <f t="shared" si="58"/>
        <v>14762.168995521239</v>
      </c>
      <c r="P173" s="237">
        <f t="shared" si="61"/>
        <v>14800.143035332952</v>
      </c>
      <c r="Q173" s="237">
        <f t="shared" si="59"/>
        <v>37.974039811713737</v>
      </c>
      <c r="R173" s="303">
        <f t="shared" si="62"/>
        <v>1.7763568394002505E-13</v>
      </c>
      <c r="S173" s="303"/>
      <c r="T173" s="351"/>
    </row>
    <row r="174" spans="1:20" s="230" customFormat="1">
      <c r="A174" s="365"/>
      <c r="B174" s="231">
        <v>34</v>
      </c>
      <c r="C174" s="304" t="str">
        <f>'2180 (Reg.) - Price Out '!B187</f>
        <v>SPECIAL 65 GL - COMM</v>
      </c>
      <c r="D174" s="233">
        <f>'2180 (Reg.) - Price Out '!I187</f>
        <v>1.0833333333333333</v>
      </c>
      <c r="E174" s="234"/>
      <c r="F174" s="235">
        <f>'2180 (Reg.) - Price Out '!K187</f>
        <v>13</v>
      </c>
      <c r="G174" s="239">
        <f>G114</f>
        <v>47</v>
      </c>
      <c r="H174" s="239">
        <f t="shared" si="57"/>
        <v>611</v>
      </c>
      <c r="I174" s="236">
        <f t="shared" si="56"/>
        <v>503.56059251210729</v>
      </c>
      <c r="J174" s="237">
        <f>References!$C$51*'Staff Calcs '!I174</f>
        <v>0.21904885774276911</v>
      </c>
      <c r="K174" s="237">
        <f>J174/References!$G$54</f>
        <v>0.22335400621251536</v>
      </c>
      <c r="L174" s="237">
        <f t="shared" si="60"/>
        <v>1.7181077400962721E-2</v>
      </c>
      <c r="M174" s="237">
        <f>'Rate Sheet'!C153</f>
        <v>6.35</v>
      </c>
      <c r="N174" s="237">
        <f>L174*4.33+M174</f>
        <v>6.424394065146168</v>
      </c>
      <c r="O174" s="237">
        <f t="shared" si="58"/>
        <v>82.55</v>
      </c>
      <c r="P174" s="237">
        <f t="shared" si="61"/>
        <v>83.517122846900179</v>
      </c>
      <c r="Q174" s="237">
        <f t="shared" si="59"/>
        <v>0.9671228469001818</v>
      </c>
      <c r="R174" s="303">
        <f t="shared" si="62"/>
        <v>0.74376884068766647</v>
      </c>
      <c r="S174" s="303"/>
      <c r="T174" s="351"/>
    </row>
    <row r="175" spans="1:20" s="230" customFormat="1">
      <c r="A175" s="365"/>
      <c r="B175" s="231">
        <v>34</v>
      </c>
      <c r="C175" s="304" t="str">
        <f>'2180 (Reg.) - Price Out '!B188</f>
        <v>SPECIAL 95 GL - COMM</v>
      </c>
      <c r="D175" s="233">
        <f>'2180 (Reg.) - Price Out '!I188</f>
        <v>0.5</v>
      </c>
      <c r="E175" s="234"/>
      <c r="F175" s="235">
        <f>'2180 (Reg.) - Price Out '!K188</f>
        <v>6</v>
      </c>
      <c r="G175" s="239">
        <f>G119</f>
        <v>68</v>
      </c>
      <c r="H175" s="239">
        <f t="shared" si="57"/>
        <v>408</v>
      </c>
      <c r="I175" s="236">
        <f t="shared" si="56"/>
        <v>336.2565004008834</v>
      </c>
      <c r="J175" s="237">
        <f>References!$C$51*'Staff Calcs '!I175</f>
        <v>0.14627157767438589</v>
      </c>
      <c r="K175" s="237">
        <f>J175/References!$G$54</f>
        <v>0.14914637403388911</v>
      </c>
      <c r="L175" s="237">
        <f t="shared" si="60"/>
        <v>2.4857729005648185E-2</v>
      </c>
      <c r="M175" s="237">
        <f>'Rate Sheet'!C156</f>
        <v>8.0399999999999991</v>
      </c>
      <c r="N175" s="237">
        <f>L175*4.33+M175</f>
        <v>8.147633966594455</v>
      </c>
      <c r="O175" s="237">
        <f t="shared" si="58"/>
        <v>48.239999999999995</v>
      </c>
      <c r="P175" s="237">
        <f t="shared" si="61"/>
        <v>48.88580379956673</v>
      </c>
      <c r="Q175" s="237">
        <f t="shared" si="59"/>
        <v>0.64580379956673539</v>
      </c>
      <c r="R175" s="303">
        <f t="shared" si="62"/>
        <v>0.49665742553284631</v>
      </c>
      <c r="S175" s="303"/>
      <c r="T175" s="351"/>
    </row>
    <row r="176" spans="1:20" s="230" customFormat="1">
      <c r="A176" s="365"/>
      <c r="B176" s="231"/>
      <c r="C176" s="232" t="str">
        <f>'2180 (Reg.) - Price Out '!B189</f>
        <v>SPECIAL RECYCLE - COMM</v>
      </c>
      <c r="D176" s="233">
        <f>'2180 (Reg.) - Price Out '!I189</f>
        <v>1.5</v>
      </c>
      <c r="E176" s="234"/>
      <c r="F176" s="235">
        <f>'2180 (Reg.) - Price Out '!K189</f>
        <v>0</v>
      </c>
      <c r="G176" s="239"/>
      <c r="H176" s="239">
        <f t="shared" si="57"/>
        <v>0</v>
      </c>
      <c r="I176" s="236">
        <f t="shared" si="56"/>
        <v>0</v>
      </c>
      <c r="J176" s="237">
        <f>References!$C$51*'Staff Calcs '!I176</f>
        <v>0</v>
      </c>
      <c r="K176" s="237">
        <f>J176/References!$G$54</f>
        <v>0</v>
      </c>
      <c r="L176" s="237"/>
      <c r="M176" s="237"/>
      <c r="N176" s="237">
        <f t="shared" si="51"/>
        <v>0</v>
      </c>
      <c r="O176" s="237">
        <f t="shared" si="58"/>
        <v>0</v>
      </c>
      <c r="P176" s="237"/>
      <c r="Q176" s="237">
        <f t="shared" si="59"/>
        <v>0</v>
      </c>
      <c r="R176" s="303"/>
      <c r="S176" s="303"/>
    </row>
    <row r="177" spans="1:19" s="230" customFormat="1">
      <c r="A177" s="365"/>
      <c r="B177" s="231"/>
      <c r="C177" s="232" t="str">
        <f>'2180 (Reg.) - Price Out '!B190</f>
        <v>TIME FEE 1 - COMM</v>
      </c>
      <c r="D177" s="233">
        <f>'2180 (Reg.) - Price Out '!I190</f>
        <v>29.416666666666668</v>
      </c>
      <c r="E177" s="234"/>
      <c r="F177" s="235">
        <f>'2180 (Reg.) - Price Out '!K190</f>
        <v>0</v>
      </c>
      <c r="G177" s="239"/>
      <c r="H177" s="239">
        <f t="shared" si="57"/>
        <v>0</v>
      </c>
      <c r="I177" s="236">
        <f t="shared" si="56"/>
        <v>0</v>
      </c>
      <c r="J177" s="237">
        <f>References!$C$51*'Staff Calcs '!I177</f>
        <v>0</v>
      </c>
      <c r="K177" s="237">
        <f>J177/References!$G$54</f>
        <v>0</v>
      </c>
      <c r="L177" s="237"/>
      <c r="M177" s="237"/>
      <c r="N177" s="237">
        <f t="shared" si="51"/>
        <v>0</v>
      </c>
      <c r="O177" s="237">
        <f t="shared" si="58"/>
        <v>0</v>
      </c>
      <c r="P177" s="237"/>
      <c r="Q177" s="237">
        <f t="shared" si="59"/>
        <v>0</v>
      </c>
      <c r="R177" s="303"/>
      <c r="S177" s="303"/>
    </row>
    <row r="178" spans="1:19" s="230" customFormat="1">
      <c r="A178" s="365"/>
      <c r="B178" s="231"/>
      <c r="C178" s="232" t="str">
        <f>'2180 (Reg.) - Price Out '!B191</f>
        <v>CONTAINER UNRETURNED FEE</v>
      </c>
      <c r="D178" s="233">
        <f>'2180 (Reg.) - Price Out '!I191</f>
        <v>0.16666666666666666</v>
      </c>
      <c r="E178" s="234"/>
      <c r="F178" s="235">
        <f>'2180 (Reg.) - Price Out '!K191</f>
        <v>0</v>
      </c>
      <c r="G178" s="239"/>
      <c r="H178" s="239">
        <f t="shared" si="57"/>
        <v>0</v>
      </c>
      <c r="I178" s="236">
        <f t="shared" si="56"/>
        <v>0</v>
      </c>
      <c r="J178" s="237">
        <f>References!$C$51*'Staff Calcs '!I178</f>
        <v>0</v>
      </c>
      <c r="K178" s="237">
        <f>J178/References!$G$54</f>
        <v>0</v>
      </c>
      <c r="L178" s="237"/>
      <c r="M178" s="237"/>
      <c r="N178" s="237">
        <f t="shared" si="51"/>
        <v>0</v>
      </c>
      <c r="O178" s="237">
        <f t="shared" si="58"/>
        <v>0</v>
      </c>
      <c r="P178" s="237"/>
      <c r="Q178" s="237">
        <f t="shared" si="59"/>
        <v>0</v>
      </c>
      <c r="R178" s="303"/>
      <c r="S178" s="303"/>
    </row>
    <row r="179" spans="1:19" s="230" customFormat="1">
      <c r="A179" s="365"/>
      <c r="B179" s="231"/>
      <c r="C179" s="232" t="str">
        <f>'2180 (Reg.) - Price Out '!B192</f>
        <v>GREENWASTE SERVICE - COMM</v>
      </c>
      <c r="D179" s="233">
        <f>'2180 (Reg.) - Price Out '!I192</f>
        <v>637.42973856209153</v>
      </c>
      <c r="E179" s="234"/>
      <c r="F179" s="235">
        <f>'2180 (Reg.) - Price Out '!K192</f>
        <v>0</v>
      </c>
      <c r="G179" s="239"/>
      <c r="H179" s="239">
        <f t="shared" si="57"/>
        <v>0</v>
      </c>
      <c r="I179" s="236">
        <f t="shared" si="56"/>
        <v>0</v>
      </c>
      <c r="J179" s="237">
        <f>References!$C$51*'Staff Calcs '!I179</f>
        <v>0</v>
      </c>
      <c r="K179" s="237">
        <f>J179/References!$G$54</f>
        <v>0</v>
      </c>
      <c r="L179" s="237"/>
      <c r="M179" s="237"/>
      <c r="N179" s="237">
        <f t="shared" si="51"/>
        <v>0</v>
      </c>
      <c r="O179" s="237">
        <f t="shared" si="58"/>
        <v>0</v>
      </c>
      <c r="P179" s="237"/>
      <c r="Q179" s="237">
        <f t="shared" si="59"/>
        <v>0</v>
      </c>
      <c r="R179" s="303"/>
      <c r="S179" s="303"/>
    </row>
    <row r="180" spans="1:19" s="230" customFormat="1">
      <c r="A180" s="365"/>
      <c r="B180" s="231"/>
      <c r="C180" s="232" t="str">
        <f>'2180 (Reg.) - Price Out '!B193</f>
        <v>LOCK CHARGE - COMM</v>
      </c>
      <c r="D180" s="233">
        <f>'2180 (Reg.) - Price Out '!I193</f>
        <v>0.14183333333333334</v>
      </c>
      <c r="E180" s="234"/>
      <c r="F180" s="235">
        <f>'2180 (Reg.) - Price Out '!K193</f>
        <v>0</v>
      </c>
      <c r="G180" s="239"/>
      <c r="H180" s="239">
        <f t="shared" si="57"/>
        <v>0</v>
      </c>
      <c r="I180" s="236">
        <f t="shared" si="56"/>
        <v>0</v>
      </c>
      <c r="J180" s="237">
        <f>References!$C$51*'Staff Calcs '!I180</f>
        <v>0</v>
      </c>
      <c r="K180" s="237">
        <f>J180/References!$G$54</f>
        <v>0</v>
      </c>
      <c r="L180" s="237"/>
      <c r="M180" s="237"/>
      <c r="N180" s="237">
        <f t="shared" si="51"/>
        <v>0</v>
      </c>
      <c r="O180" s="237">
        <f t="shared" si="58"/>
        <v>0</v>
      </c>
      <c r="P180" s="237"/>
      <c r="Q180" s="237">
        <f t="shared" si="59"/>
        <v>0</v>
      </c>
      <c r="R180" s="303"/>
      <c r="S180" s="303"/>
    </row>
    <row r="181" spans="1:19" s="230" customFormat="1">
      <c r="A181" s="365"/>
      <c r="B181" s="231"/>
      <c r="C181" s="232" t="str">
        <f>'2180 (Reg.) - Price Out '!B194</f>
        <v>REDELIVER FEE LVL 1 - COM</v>
      </c>
      <c r="D181" s="233">
        <f>'2180 (Reg.) - Price Out '!I194</f>
        <v>0.11411824668705402</v>
      </c>
      <c r="E181" s="234"/>
      <c r="F181" s="235">
        <f>'2180 (Reg.) - Price Out '!K194</f>
        <v>0</v>
      </c>
      <c r="G181" s="239"/>
      <c r="H181" s="239">
        <f t="shared" si="57"/>
        <v>0</v>
      </c>
      <c r="I181" s="236">
        <f t="shared" si="56"/>
        <v>0</v>
      </c>
      <c r="J181" s="237">
        <f>References!$C$51*'Staff Calcs '!I181</f>
        <v>0</v>
      </c>
      <c r="K181" s="237">
        <f>J181/References!$G$54</f>
        <v>0</v>
      </c>
      <c r="L181" s="237"/>
      <c r="M181" s="237"/>
      <c r="N181" s="237">
        <f t="shared" si="51"/>
        <v>0</v>
      </c>
      <c r="O181" s="237">
        <f t="shared" si="58"/>
        <v>0</v>
      </c>
      <c r="P181" s="237"/>
      <c r="Q181" s="237">
        <f t="shared" si="59"/>
        <v>0</v>
      </c>
      <c r="R181" s="303"/>
      <c r="S181" s="303"/>
    </row>
    <row r="182" spans="1:19" s="230" customFormat="1">
      <c r="A182" s="248"/>
      <c r="B182" s="198"/>
      <c r="C182" s="250" t="s">
        <v>635</v>
      </c>
      <c r="D182" s="251">
        <f>SUM(D66:D181)</f>
        <v>14980.642232984766</v>
      </c>
      <c r="E182" s="252"/>
      <c r="F182" s="251">
        <f>SUM(F66:F181)</f>
        <v>315293.05653127242</v>
      </c>
      <c r="G182" s="253"/>
      <c r="H182" s="251">
        <f>SUM(H66:H181)</f>
        <v>65472042.976316012</v>
      </c>
      <c r="I182" s="251">
        <f>SUM(I66:I181)</f>
        <v>53959313.83654967</v>
      </c>
      <c r="J182" s="255"/>
      <c r="K182" s="251">
        <f>SUM(K66:K181)</f>
        <v>23933.622084579631</v>
      </c>
      <c r="L182" s="255"/>
      <c r="M182" s="255"/>
      <c r="N182" s="255"/>
      <c r="O182" s="251">
        <f>SUM(O66:O181)</f>
        <v>7076861.7318580151</v>
      </c>
      <c r="P182" s="251">
        <f>SUM(P66:P181)</f>
        <v>7100559.2640344026</v>
      </c>
      <c r="Q182" s="251">
        <f>SUM(Q66:Q181)</f>
        <v>23697.532176394023</v>
      </c>
      <c r="R182" s="303">
        <f>(I182/2000*References!$B$51)/References!$G$54</f>
        <v>23933.6220845795</v>
      </c>
      <c r="S182" s="357">
        <f>Q182/('2180 (Reg.) - Price Out '!F195+'2180 (Reg.) - Price Out '!G195)</f>
        <v>3.8958035888335615E-3</v>
      </c>
    </row>
    <row r="183" spans="1:19" ht="14.45" customHeight="1" thickBot="1">
      <c r="A183" s="310"/>
      <c r="C183" s="316" t="s">
        <v>624</v>
      </c>
      <c r="D183" s="317">
        <f>D182+D65</f>
        <v>61891.123784122727</v>
      </c>
      <c r="E183" s="317"/>
      <c r="F183" s="317">
        <f>F182+F65</f>
        <v>2275569.4287936562</v>
      </c>
      <c r="G183" s="317"/>
      <c r="H183" s="317">
        <f>H182+H65</f>
        <v>160406913.39506775</v>
      </c>
      <c r="I183" s="317">
        <f>I182+I65</f>
        <v>132200655.24101241</v>
      </c>
      <c r="J183" s="318"/>
      <c r="K183" s="319">
        <f>K182+K65</f>
        <v>58637.523291280464</v>
      </c>
      <c r="L183" s="320"/>
      <c r="M183" s="320"/>
      <c r="N183" s="320"/>
      <c r="O183" s="317">
        <f t="shared" ref="O183:R183" si="63">O182+O65</f>
        <v>18987864.610666599</v>
      </c>
      <c r="P183" s="317">
        <f t="shared" si="63"/>
        <v>19046266.044049688</v>
      </c>
      <c r="Q183" s="317">
        <f t="shared" si="63"/>
        <v>58401.433383094489</v>
      </c>
      <c r="R183" s="258">
        <f t="shared" si="63"/>
        <v>58637.523291280129</v>
      </c>
      <c r="S183" s="303"/>
    </row>
    <row r="184" spans="1:19" ht="15.75" thickTop="1">
      <c r="A184" s="311"/>
      <c r="J184" s="260"/>
      <c r="P184" s="356"/>
      <c r="Q184" s="338">
        <f>Q183-K183</f>
        <v>-236.08990818597522</v>
      </c>
      <c r="R184" s="352">
        <f>Q184/R183</f>
        <v>-4.0262598918649022E-3</v>
      </c>
      <c r="S184" s="230"/>
    </row>
    <row r="185" spans="1:19" ht="24" customHeight="1">
      <c r="A185" s="367" t="s">
        <v>633</v>
      </c>
      <c r="B185" s="312" t="s">
        <v>638</v>
      </c>
      <c r="C185" s="313" t="str">
        <f>'2180 (Reg.) - Price Out '!B205</f>
        <v>65-Gal Wkly</v>
      </c>
      <c r="D185" s="314">
        <f>'2180 (Reg.) - Price Out '!I205</f>
        <v>3376</v>
      </c>
      <c r="E185" s="225">
        <f>References!$B$7</f>
        <v>4.333333333333333</v>
      </c>
      <c r="F185" s="226">
        <f>D185*E185*12</f>
        <v>175552</v>
      </c>
      <c r="G185" s="315">
        <f>References!$B$23</f>
        <v>47</v>
      </c>
      <c r="H185" s="315">
        <f t="shared" ref="H185:H187" si="64">F185*G185</f>
        <v>8250944</v>
      </c>
      <c r="I185" s="227">
        <f>$E$219*H185</f>
        <v>6051072.1020515887</v>
      </c>
      <c r="J185" s="228">
        <f>References!$E$51*'Staff Calcs '!I185</f>
        <v>0</v>
      </c>
      <c r="K185" s="228">
        <f>J185/References!$G$54</f>
        <v>0</v>
      </c>
      <c r="L185" s="228">
        <f>K185/F185*E185</f>
        <v>0</v>
      </c>
      <c r="M185" s="228">
        <f>'Rate Sheet'!C56</f>
        <v>21.29</v>
      </c>
      <c r="N185" s="228">
        <f t="shared" ref="N185:N187" si="65">L185+M185</f>
        <v>21.29</v>
      </c>
      <c r="O185" s="228">
        <f>D185*M185*12</f>
        <v>862500.48</v>
      </c>
      <c r="P185" s="237">
        <f>D185*N185*12</f>
        <v>862500.48</v>
      </c>
      <c r="Q185" s="228">
        <f t="shared" ref="Q185:Q187" si="66">P185-O185</f>
        <v>0</v>
      </c>
      <c r="R185" s="303"/>
      <c r="S185" s="303"/>
    </row>
    <row r="186" spans="1:19">
      <c r="A186" s="368"/>
      <c r="B186" s="257" t="s">
        <v>638</v>
      </c>
      <c r="C186" s="221" t="str">
        <f>'2180 (Reg.) - Price Out '!B206</f>
        <v>95-Gal Wkly</v>
      </c>
      <c r="D186" s="259">
        <f>'2180 (Reg.) - Price Out '!I206</f>
        <v>778</v>
      </c>
      <c r="E186" s="234">
        <f>References!$B$7</f>
        <v>4.333333333333333</v>
      </c>
      <c r="F186" s="235">
        <f t="shared" ref="F186:F188" si="67">D186*E186*12</f>
        <v>40456</v>
      </c>
      <c r="G186" s="239">
        <f>References!$B$24</f>
        <v>68</v>
      </c>
      <c r="H186" s="239">
        <f t="shared" si="64"/>
        <v>2751008</v>
      </c>
      <c r="I186" s="236">
        <f>$E$219*H186</f>
        <v>2017532.5103795077</v>
      </c>
      <c r="J186" s="237">
        <f>References!$E$51*'Staff Calcs '!I186</f>
        <v>0</v>
      </c>
      <c r="K186" s="237">
        <f>J186/References!$G$54</f>
        <v>0</v>
      </c>
      <c r="L186" s="237">
        <f>K186/F186*E186</f>
        <v>0</v>
      </c>
      <c r="M186" s="238">
        <f>'Rate Sheet'!C57</f>
        <v>27.72</v>
      </c>
      <c r="N186" s="237">
        <f t="shared" si="65"/>
        <v>27.72</v>
      </c>
      <c r="O186" s="237">
        <f>D186*M186*12</f>
        <v>258793.91999999998</v>
      </c>
      <c r="P186" s="237">
        <f>D186*N186*12</f>
        <v>258793.91999999998</v>
      </c>
      <c r="Q186" s="237">
        <f t="shared" si="66"/>
        <v>0</v>
      </c>
      <c r="R186" s="303"/>
      <c r="S186" s="303"/>
    </row>
    <row r="187" spans="1:19">
      <c r="A187" s="368"/>
      <c r="B187" s="257" t="s">
        <v>639</v>
      </c>
      <c r="C187" s="221" t="str">
        <f>'2180 (Reg.) - Price Out '!B207</f>
        <v>Extra Units</v>
      </c>
      <c r="D187" s="259">
        <f>'2180 (Reg.) - Price Out '!I207</f>
        <v>0</v>
      </c>
      <c r="F187" s="235">
        <f>'2180 (Reg.) - Price Out '!H207</f>
        <v>30</v>
      </c>
      <c r="G187" s="307">
        <f>G185</f>
        <v>47</v>
      </c>
      <c r="H187" s="239">
        <f t="shared" si="64"/>
        <v>1410</v>
      </c>
      <c r="I187" s="236">
        <f>$E$219*H187</f>
        <v>1034.0649098930667</v>
      </c>
      <c r="J187" s="237">
        <f>References!$E$51*'Staff Calcs '!I187</f>
        <v>0</v>
      </c>
      <c r="K187" s="237">
        <f>J187/References!$G$54</f>
        <v>0</v>
      </c>
      <c r="L187" s="237">
        <f>K187/F187</f>
        <v>0</v>
      </c>
      <c r="M187" s="238">
        <f>'Rate Sheet'!C60</f>
        <v>3.53</v>
      </c>
      <c r="N187" s="237">
        <f t="shared" si="65"/>
        <v>3.53</v>
      </c>
      <c r="O187" s="237">
        <f>F187*M187</f>
        <v>105.89999999999999</v>
      </c>
      <c r="P187" s="237">
        <f>F187*N187</f>
        <v>105.89999999999999</v>
      </c>
      <c r="Q187" s="237">
        <f t="shared" si="66"/>
        <v>0</v>
      </c>
      <c r="R187" s="303"/>
      <c r="S187" s="303"/>
    </row>
    <row r="188" spans="1:19">
      <c r="A188" s="368"/>
      <c r="B188" s="257" t="s">
        <v>640</v>
      </c>
      <c r="C188" s="221" t="str">
        <f>'2180 (Reg.) - Price Out '!B213</f>
        <v>Multi-Family, 4-yard Wkly</v>
      </c>
      <c r="D188" s="259">
        <f>'2180 (Reg.) - Price Out '!I213</f>
        <v>4</v>
      </c>
      <c r="E188" s="234">
        <f>References!$B$7</f>
        <v>4.333333333333333</v>
      </c>
      <c r="F188" s="235">
        <f t="shared" si="67"/>
        <v>208</v>
      </c>
      <c r="G188" s="298">
        <f>References!B33</f>
        <v>613</v>
      </c>
      <c r="H188" s="239">
        <f t="shared" ref="H188:H189" si="68">F188*G188</f>
        <v>127504</v>
      </c>
      <c r="I188" s="236">
        <f>$E$219*H188</f>
        <v>93508.803029081973</v>
      </c>
      <c r="J188" s="237">
        <f>References!$E$51*'Staff Calcs '!I188</f>
        <v>0</v>
      </c>
      <c r="K188" s="237">
        <f>J188/References!$G$54</f>
        <v>0</v>
      </c>
      <c r="L188" s="334">
        <f>K188/F188</f>
        <v>0</v>
      </c>
      <c r="M188" s="238">
        <f>'Rate Sheet'!C73</f>
        <v>73.650000000000006</v>
      </c>
      <c r="N188" s="237">
        <f t="shared" ref="N188:N189" si="69">L188+M188</f>
        <v>73.650000000000006</v>
      </c>
      <c r="O188" s="334">
        <f>(M188*D188*12)+('Rate Sheet'!$C$74*References!$J$7*12*D188)</f>
        <v>11264.800000000001</v>
      </c>
      <c r="P188" s="334">
        <f>(N188*D188*12)+('Rate Sheet'!$E$74*References!$J$7*12*D188)</f>
        <v>11264.800000000001</v>
      </c>
      <c r="Q188" s="237">
        <f t="shared" ref="Q188:Q189" si="70">P188-O188</f>
        <v>0</v>
      </c>
      <c r="R188" s="303"/>
      <c r="S188" s="303"/>
    </row>
    <row r="189" spans="1:19">
      <c r="A189" s="368"/>
      <c r="B189" s="257" t="s">
        <v>640</v>
      </c>
      <c r="C189" s="221" t="str">
        <f>'2180 (Reg.) - Price Out '!B214</f>
        <v>Multi-Family, 6-yard Wkly</v>
      </c>
      <c r="D189" s="259">
        <f>'2180 (Reg.) - Price Out '!I214</f>
        <v>48</v>
      </c>
      <c r="E189" s="234">
        <f>References!$B$7</f>
        <v>4.333333333333333</v>
      </c>
      <c r="F189" s="235">
        <f>D189*E189*12</f>
        <v>2496</v>
      </c>
      <c r="G189" s="298">
        <f>References!B34</f>
        <v>840</v>
      </c>
      <c r="H189" s="239">
        <f t="shared" si="68"/>
        <v>2096640</v>
      </c>
      <c r="I189" s="236">
        <f>$E$219*H189</f>
        <v>1537632.5196299287</v>
      </c>
      <c r="J189" s="237">
        <f>References!$E$51*'Staff Calcs '!I189</f>
        <v>0</v>
      </c>
      <c r="K189" s="237">
        <f>J189/References!$G$54</f>
        <v>0</v>
      </c>
      <c r="L189" s="334">
        <f>K189/F189</f>
        <v>0</v>
      </c>
      <c r="M189" s="238">
        <f>'Rate Sheet'!C75</f>
        <v>97.07</v>
      </c>
      <c r="N189" s="237">
        <f t="shared" si="69"/>
        <v>97.07</v>
      </c>
      <c r="O189" s="334">
        <f>(M189*D189*12)+('Rate Sheet'!$C$76*References!$J$7*12*D189)</f>
        <v>181461.11999999997</v>
      </c>
      <c r="P189" s="334">
        <f>(N189*D189*12)+('Rate Sheet'!$E$76*References!$J$7*12*D189)</f>
        <v>181461.11999999997</v>
      </c>
      <c r="Q189" s="237">
        <f t="shared" si="70"/>
        <v>0</v>
      </c>
      <c r="R189" s="303"/>
      <c r="S189" s="303"/>
    </row>
    <row r="190" spans="1:19" s="230" customFormat="1">
      <c r="A190" s="248"/>
      <c r="B190" s="198"/>
      <c r="C190" s="250" t="s">
        <v>637</v>
      </c>
      <c r="D190" s="251">
        <f>SUM(D185:D189)</f>
        <v>4206</v>
      </c>
      <c r="E190" s="252"/>
      <c r="F190" s="251">
        <f>SUM(F185:F189)</f>
        <v>218742</v>
      </c>
      <c r="G190" s="253"/>
      <c r="H190" s="251">
        <f>SUM(H185:H189)</f>
        <v>13227506</v>
      </c>
      <c r="I190" s="251">
        <f>SUM(I185:I189)</f>
        <v>9700780</v>
      </c>
      <c r="J190" s="255">
        <f>SUM(J185:J189)</f>
        <v>0</v>
      </c>
      <c r="K190" s="302">
        <f>SUM(K185:K189)</f>
        <v>0</v>
      </c>
      <c r="L190" s="255"/>
      <c r="M190" s="255"/>
      <c r="N190" s="255"/>
      <c r="O190" s="251">
        <f>SUM(O185:O189)</f>
        <v>1314126.2199999997</v>
      </c>
      <c r="P190" s="251">
        <f>SUM(P185:P189)</f>
        <v>1314126.2199999997</v>
      </c>
      <c r="Q190" s="251">
        <f>SUM(Q185:Q189)</f>
        <v>0</v>
      </c>
      <c r="R190" s="303"/>
      <c r="S190" s="303"/>
    </row>
    <row r="191" spans="1:19">
      <c r="J191" s="260"/>
      <c r="Q191" s="338">
        <f>Q190-K190</f>
        <v>0</v>
      </c>
      <c r="S191" s="230"/>
    </row>
    <row r="192" spans="1:19">
      <c r="J192" s="260"/>
      <c r="S192" s="230"/>
    </row>
    <row r="193" spans="1:20">
      <c r="J193" s="260"/>
      <c r="S193" s="230"/>
    </row>
    <row r="194" spans="1:20">
      <c r="A194" s="262"/>
      <c r="B194" s="263"/>
      <c r="C194" s="264" t="s">
        <v>625</v>
      </c>
      <c r="D194" s="265"/>
      <c r="E194" s="262"/>
      <c r="F194" s="262"/>
      <c r="G194" s="262"/>
      <c r="H194" s="262"/>
      <c r="I194" s="266"/>
      <c r="J194" s="267"/>
      <c r="K194" s="262"/>
      <c r="L194" s="262"/>
      <c r="M194" s="262"/>
      <c r="N194" s="262"/>
      <c r="O194" s="262"/>
      <c r="P194" s="262"/>
      <c r="Q194" s="262"/>
      <c r="S194" s="230"/>
    </row>
    <row r="195" spans="1:20" s="230" customFormat="1">
      <c r="A195" s="365" t="s">
        <v>633</v>
      </c>
      <c r="B195" s="257" t="s">
        <v>640</v>
      </c>
      <c r="C195" s="232" t="str">
        <f>'2180 (Reg.) - Price Out '!B209</f>
        <v>Multi-Family, 1-yard Wkly</v>
      </c>
      <c r="D195" s="268">
        <v>0</v>
      </c>
      <c r="E195" s="234">
        <f>References!$B$7</f>
        <v>4.333333333333333</v>
      </c>
      <c r="F195" s="235">
        <f>E195*12</f>
        <v>52</v>
      </c>
      <c r="G195" s="235">
        <f>References!B29</f>
        <v>175</v>
      </c>
      <c r="H195" s="235">
        <f t="shared" ref="H195:H210" si="71">F195*G195</f>
        <v>9100</v>
      </c>
      <c r="I195" s="236">
        <f>$E$219*H195</f>
        <v>6673.7522553382323</v>
      </c>
      <c r="J195" s="237">
        <f>References!$E$51*'Staff Calcs '!I195</f>
        <v>0</v>
      </c>
      <c r="K195" s="237">
        <f>J195/References!$G$54</f>
        <v>0</v>
      </c>
      <c r="L195" s="334">
        <f>K195/F195</f>
        <v>0</v>
      </c>
      <c r="M195" s="238">
        <f>'Rate Sheet'!C65</f>
        <v>27.15</v>
      </c>
      <c r="N195" s="237">
        <f>L195+M195</f>
        <v>27.15</v>
      </c>
      <c r="O195" s="237">
        <f t="shared" ref="O195:O205" si="72">D195*M195*12</f>
        <v>0</v>
      </c>
      <c r="P195" s="237">
        <f>D195*N195*12</f>
        <v>0</v>
      </c>
      <c r="Q195" s="237">
        <f t="shared" ref="Q195:Q205" si="73">P195-O195</f>
        <v>0</v>
      </c>
      <c r="S195" s="303"/>
    </row>
    <row r="196" spans="1:20" s="230" customFormat="1">
      <c r="A196" s="365"/>
      <c r="B196" s="257" t="s">
        <v>640</v>
      </c>
      <c r="C196" s="232" t="str">
        <f>'2180 (Reg.) - Price Out '!B210</f>
        <v>Multi-Family, 1.5-yard Wkly</v>
      </c>
      <c r="D196" s="268">
        <v>0</v>
      </c>
      <c r="E196" s="234">
        <f>References!$B$7</f>
        <v>4.333333333333333</v>
      </c>
      <c r="F196" s="235">
        <f t="shared" ref="F196:F205" si="74">E196*12</f>
        <v>52</v>
      </c>
      <c r="G196" s="235">
        <f>References!B30</f>
        <v>250</v>
      </c>
      <c r="H196" s="235">
        <f t="shared" si="71"/>
        <v>13000</v>
      </c>
      <c r="I196" s="236">
        <f>$E$219*H196</f>
        <v>9533.9317933403327</v>
      </c>
      <c r="J196" s="237">
        <f>References!$E$51*'Staff Calcs '!I196</f>
        <v>0</v>
      </c>
      <c r="K196" s="237">
        <f>J196/References!$G$54</f>
        <v>0</v>
      </c>
      <c r="L196" s="334">
        <f t="shared" ref="L196:L201" si="75">K196/F196</f>
        <v>0</v>
      </c>
      <c r="M196" s="238">
        <f>'Rate Sheet'!C67</f>
        <v>37.14</v>
      </c>
      <c r="N196" s="237">
        <f t="shared" ref="N196:N205" si="76">L196+M196</f>
        <v>37.14</v>
      </c>
      <c r="O196" s="237">
        <f t="shared" si="72"/>
        <v>0</v>
      </c>
      <c r="P196" s="237">
        <f t="shared" ref="P196:P210" si="77">D196*N196*12</f>
        <v>0</v>
      </c>
      <c r="Q196" s="237">
        <f t="shared" si="73"/>
        <v>0</v>
      </c>
      <c r="S196" s="303"/>
    </row>
    <row r="197" spans="1:20" s="230" customFormat="1">
      <c r="A197" s="365"/>
      <c r="B197" s="257" t="s">
        <v>640</v>
      </c>
      <c r="C197" s="232" t="str">
        <f>'2180 (Reg.) - Price Out '!B211</f>
        <v>Multi-Family, 2-yard Wkly</v>
      </c>
      <c r="D197" s="268"/>
      <c r="E197" s="234">
        <f>References!$B$7</f>
        <v>4.333333333333333</v>
      </c>
      <c r="F197" s="235">
        <f t="shared" si="74"/>
        <v>52</v>
      </c>
      <c r="G197" s="235">
        <f>References!B31</f>
        <v>324</v>
      </c>
      <c r="H197" s="235">
        <f t="shared" si="71"/>
        <v>16848</v>
      </c>
      <c r="I197" s="236">
        <f>$E$219*H197</f>
        <v>12355.975604169071</v>
      </c>
      <c r="J197" s="237">
        <f>References!$E$51*'Staff Calcs '!I197</f>
        <v>0</v>
      </c>
      <c r="K197" s="237">
        <f>J197/References!$G$54</f>
        <v>0</v>
      </c>
      <c r="L197" s="334">
        <f t="shared" si="75"/>
        <v>0</v>
      </c>
      <c r="M197" s="238">
        <f>'Rate Sheet'!C69</f>
        <v>44.38</v>
      </c>
      <c r="N197" s="237">
        <f t="shared" si="76"/>
        <v>44.38</v>
      </c>
      <c r="O197" s="237">
        <f t="shared" si="72"/>
        <v>0</v>
      </c>
      <c r="P197" s="237">
        <f t="shared" si="77"/>
        <v>0</v>
      </c>
      <c r="Q197" s="237">
        <f t="shared" si="73"/>
        <v>0</v>
      </c>
      <c r="S197" s="303"/>
    </row>
    <row r="198" spans="1:20" s="230" customFormat="1">
      <c r="A198" s="365"/>
      <c r="B198" s="257" t="s">
        <v>640</v>
      </c>
      <c r="C198" s="232" t="str">
        <f>'2180 (Reg.) - Price Out '!B212</f>
        <v>Multi-Family, 3-yard Wkly</v>
      </c>
      <c r="D198" s="268"/>
      <c r="E198" s="234">
        <f>References!$B$7</f>
        <v>4.333333333333333</v>
      </c>
      <c r="F198" s="235">
        <f t="shared" si="74"/>
        <v>52</v>
      </c>
      <c r="G198" s="235">
        <f>References!B32</f>
        <v>473</v>
      </c>
      <c r="H198" s="235">
        <f t="shared" si="71"/>
        <v>24596</v>
      </c>
      <c r="I198" s="236">
        <f>$E$219*H198</f>
        <v>18038.198952999908</v>
      </c>
      <c r="J198" s="237">
        <f>References!$E$51*'Staff Calcs '!I198</f>
        <v>0</v>
      </c>
      <c r="K198" s="237">
        <f>J198/References!$G$54</f>
        <v>0</v>
      </c>
      <c r="L198" s="334">
        <f t="shared" si="75"/>
        <v>0</v>
      </c>
      <c r="M198" s="238">
        <f>'Rate Sheet'!C71</f>
        <v>58.97</v>
      </c>
      <c r="N198" s="237">
        <f t="shared" si="76"/>
        <v>58.97</v>
      </c>
      <c r="O198" s="237">
        <f t="shared" si="72"/>
        <v>0</v>
      </c>
      <c r="P198" s="237">
        <f t="shared" si="77"/>
        <v>0</v>
      </c>
      <c r="Q198" s="237">
        <f t="shared" si="73"/>
        <v>0</v>
      </c>
      <c r="S198" s="303"/>
    </row>
    <row r="199" spans="1:20" s="230" customFormat="1">
      <c r="A199" s="365"/>
      <c r="B199" s="257" t="s">
        <v>640</v>
      </c>
      <c r="C199" s="232" t="str">
        <f>'2180 (Reg.) - Price Out '!B213</f>
        <v>Multi-Family, 4-yard Wkly</v>
      </c>
      <c r="D199" s="268"/>
      <c r="E199" s="234">
        <f>References!$B$7</f>
        <v>4.333333333333333</v>
      </c>
      <c r="F199" s="235">
        <f t="shared" si="74"/>
        <v>52</v>
      </c>
      <c r="G199" s="235">
        <f>References!B33</f>
        <v>613</v>
      </c>
      <c r="H199" s="235">
        <f t="shared" si="71"/>
        <v>31876</v>
      </c>
      <c r="I199" s="236">
        <f t="shared" ref="I199:I200" si="78">$E$219*H199</f>
        <v>23377.200757270493</v>
      </c>
      <c r="J199" s="237">
        <f>References!$E$51*'Staff Calcs '!I199</f>
        <v>0</v>
      </c>
      <c r="K199" s="237">
        <f>J199/References!$G$54</f>
        <v>0</v>
      </c>
      <c r="L199" s="334">
        <f t="shared" si="75"/>
        <v>0</v>
      </c>
      <c r="M199" s="238">
        <f>'Rate Sheet'!C73</f>
        <v>73.650000000000006</v>
      </c>
      <c r="N199" s="237">
        <f t="shared" si="76"/>
        <v>73.650000000000006</v>
      </c>
      <c r="O199" s="237">
        <f t="shared" si="72"/>
        <v>0</v>
      </c>
      <c r="P199" s="237">
        <f t="shared" si="77"/>
        <v>0</v>
      </c>
      <c r="Q199" s="237">
        <f t="shared" si="73"/>
        <v>0</v>
      </c>
      <c r="S199" s="303"/>
    </row>
    <row r="200" spans="1:20" s="230" customFormat="1">
      <c r="A200" s="365"/>
      <c r="B200" s="257" t="s">
        <v>640</v>
      </c>
      <c r="C200" s="232" t="str">
        <f>'2180 (Reg.) - Price Out '!B214</f>
        <v>Multi-Family, 6-yard Wkly</v>
      </c>
      <c r="D200" s="268"/>
      <c r="E200" s="234">
        <f>References!$B$7</f>
        <v>4.333333333333333</v>
      </c>
      <c r="F200" s="235">
        <f t="shared" si="74"/>
        <v>52</v>
      </c>
      <c r="G200" s="235">
        <f>References!B34</f>
        <v>840</v>
      </c>
      <c r="H200" s="235">
        <f t="shared" si="71"/>
        <v>43680</v>
      </c>
      <c r="I200" s="236">
        <f t="shared" si="78"/>
        <v>32034.010825623514</v>
      </c>
      <c r="J200" s="237">
        <f>References!$E$51*'Staff Calcs '!I200</f>
        <v>0</v>
      </c>
      <c r="K200" s="237">
        <f>J200/References!$G$54</f>
        <v>0</v>
      </c>
      <c r="L200" s="334">
        <f t="shared" si="75"/>
        <v>0</v>
      </c>
      <c r="M200" s="238">
        <f>'Rate Sheet'!C75</f>
        <v>97.07</v>
      </c>
      <c r="N200" s="237">
        <f t="shared" si="76"/>
        <v>97.07</v>
      </c>
      <c r="O200" s="237">
        <f t="shared" si="72"/>
        <v>0</v>
      </c>
      <c r="P200" s="237">
        <f t="shared" si="77"/>
        <v>0</v>
      </c>
      <c r="Q200" s="237">
        <f t="shared" si="73"/>
        <v>0</v>
      </c>
      <c r="S200" s="303"/>
    </row>
    <row r="201" spans="1:20" s="230" customFormat="1">
      <c r="A201" s="366"/>
      <c r="B201" s="187" t="s">
        <v>640</v>
      </c>
      <c r="C201" s="242" t="str">
        <f>'2180 (Reg.) - Price Out '!B215</f>
        <v>Multi-Family, 8-yard Wkly</v>
      </c>
      <c r="D201" s="306"/>
      <c r="E201" s="244">
        <f>References!$B$7</f>
        <v>4.333333333333333</v>
      </c>
      <c r="F201" s="269">
        <f t="shared" si="74"/>
        <v>52</v>
      </c>
      <c r="G201" s="269">
        <f>References!B35</f>
        <v>980</v>
      </c>
      <c r="H201" s="269">
        <f t="shared" si="71"/>
        <v>50960</v>
      </c>
      <c r="I201" s="245">
        <f>$E$219*H201</f>
        <v>37373.012629894103</v>
      </c>
      <c r="J201" s="246">
        <f>References!$E$51*'Staff Calcs '!I201</f>
        <v>0</v>
      </c>
      <c r="K201" s="246">
        <f>J201/References!$G$54</f>
        <v>0</v>
      </c>
      <c r="L201" s="335">
        <f t="shared" si="75"/>
        <v>0</v>
      </c>
      <c r="M201" s="247">
        <f>'Rate Sheet'!C77</f>
        <v>126.41</v>
      </c>
      <c r="N201" s="246">
        <f t="shared" si="76"/>
        <v>126.41</v>
      </c>
      <c r="O201" s="246">
        <f t="shared" si="72"/>
        <v>0</v>
      </c>
      <c r="P201" s="246">
        <f t="shared" si="77"/>
        <v>0</v>
      </c>
      <c r="Q201" s="246">
        <f t="shared" si="73"/>
        <v>0</v>
      </c>
      <c r="S201" s="303"/>
    </row>
    <row r="202" spans="1:20" s="230" customFormat="1">
      <c r="A202" s="364" t="s">
        <v>641</v>
      </c>
      <c r="B202" s="231">
        <v>21</v>
      </c>
      <c r="C202" s="232" t="s">
        <v>647</v>
      </c>
      <c r="D202" s="268"/>
      <c r="E202" s="234">
        <f>References!$B$7</f>
        <v>4.333333333333333</v>
      </c>
      <c r="F202" s="235">
        <f t="shared" si="74"/>
        <v>52</v>
      </c>
      <c r="G202" s="235">
        <f>References!$B$20</f>
        <v>117</v>
      </c>
      <c r="H202" s="235">
        <f t="shared" ref="H202:H205" si="79">F202*G202</f>
        <v>6084</v>
      </c>
      <c r="I202" s="236">
        <f t="shared" ref="I202:I205" si="80">$D$219*H202</f>
        <v>5014.1778148014082</v>
      </c>
      <c r="J202" s="237">
        <f>References!$C$51*'Staff Calcs '!I202</f>
        <v>2.181167349438637</v>
      </c>
      <c r="K202" s="237">
        <f>J202/References!$G$54</f>
        <v>2.224035636328876</v>
      </c>
      <c r="L202" s="237">
        <f>ROUND(K202/F202*E202,2)</f>
        <v>0.19</v>
      </c>
      <c r="M202" s="237">
        <f>'Rate Sheet'!C23</f>
        <v>57.09</v>
      </c>
      <c r="N202" s="237">
        <f t="shared" si="76"/>
        <v>57.28</v>
      </c>
      <c r="O202" s="237">
        <f t="shared" si="72"/>
        <v>0</v>
      </c>
      <c r="P202" s="237">
        <f t="shared" si="77"/>
        <v>0</v>
      </c>
      <c r="Q202" s="237">
        <f t="shared" si="73"/>
        <v>0</v>
      </c>
      <c r="S202" s="303"/>
      <c r="T202" s="351"/>
    </row>
    <row r="203" spans="1:20" s="230" customFormat="1">
      <c r="A203" s="365"/>
      <c r="B203" s="231">
        <v>21</v>
      </c>
      <c r="C203" s="232" t="s">
        <v>648</v>
      </c>
      <c r="D203" s="268"/>
      <c r="E203" s="234">
        <f>References!$B$7</f>
        <v>4.333333333333333</v>
      </c>
      <c r="F203" s="235">
        <f t="shared" si="74"/>
        <v>52</v>
      </c>
      <c r="G203" s="235">
        <f>References!$B$20</f>
        <v>117</v>
      </c>
      <c r="H203" s="235">
        <f t="shared" si="79"/>
        <v>6084</v>
      </c>
      <c r="I203" s="236">
        <f t="shared" si="80"/>
        <v>5014.1778148014082</v>
      </c>
      <c r="J203" s="237">
        <f>References!$C$51*'Staff Calcs '!I203</f>
        <v>2.181167349438637</v>
      </c>
      <c r="K203" s="237">
        <f>J203/References!$G$54</f>
        <v>2.224035636328876</v>
      </c>
      <c r="L203" s="237">
        <f t="shared" ref="L203:L210" si="81">ROUND(K203/F203*E203,2)</f>
        <v>0.19</v>
      </c>
      <c r="M203" s="237">
        <f>'Rate Sheet'!C22</f>
        <v>52.09</v>
      </c>
      <c r="N203" s="237">
        <f t="shared" si="76"/>
        <v>52.28</v>
      </c>
      <c r="O203" s="237">
        <f t="shared" si="72"/>
        <v>0</v>
      </c>
      <c r="P203" s="237">
        <f t="shared" si="77"/>
        <v>0</v>
      </c>
      <c r="Q203" s="237">
        <f t="shared" si="73"/>
        <v>0</v>
      </c>
      <c r="S203" s="303"/>
      <c r="T203" s="351"/>
    </row>
    <row r="204" spans="1:20" s="230" customFormat="1">
      <c r="A204" s="365"/>
      <c r="B204" s="231">
        <v>21</v>
      </c>
      <c r="C204" s="232" t="s">
        <v>649</v>
      </c>
      <c r="D204" s="268"/>
      <c r="E204" s="234">
        <f>References!$B$7</f>
        <v>4.333333333333333</v>
      </c>
      <c r="F204" s="235">
        <f t="shared" si="74"/>
        <v>52</v>
      </c>
      <c r="G204" s="235">
        <f>References!$B$21</f>
        <v>157</v>
      </c>
      <c r="H204" s="235">
        <f t="shared" si="79"/>
        <v>8164</v>
      </c>
      <c r="I204" s="236">
        <f t="shared" si="80"/>
        <v>6728.4266403745396</v>
      </c>
      <c r="J204" s="237">
        <f>References!$C$51*'Staff Calcs '!I204</f>
        <v>2.9268655885629573</v>
      </c>
      <c r="K204" s="237">
        <f>J204/References!$G$54</f>
        <v>2.984389700031056</v>
      </c>
      <c r="L204" s="237">
        <f t="shared" si="81"/>
        <v>0.25</v>
      </c>
      <c r="M204" s="237">
        <f>'Rate Sheet'!C25</f>
        <v>66.73</v>
      </c>
      <c r="N204" s="237">
        <f t="shared" si="76"/>
        <v>66.98</v>
      </c>
      <c r="O204" s="237">
        <f t="shared" si="72"/>
        <v>0</v>
      </c>
      <c r="P204" s="237">
        <f t="shared" si="77"/>
        <v>0</v>
      </c>
      <c r="Q204" s="237">
        <f t="shared" si="73"/>
        <v>0</v>
      </c>
      <c r="S204" s="303"/>
      <c r="T204" s="351"/>
    </row>
    <row r="205" spans="1:20" s="230" customFormat="1">
      <c r="A205" s="365"/>
      <c r="B205" s="231">
        <v>21</v>
      </c>
      <c r="C205" s="232" t="s">
        <v>650</v>
      </c>
      <c r="D205" s="268"/>
      <c r="E205" s="234">
        <f>References!$B$7</f>
        <v>4.333333333333333</v>
      </c>
      <c r="F205" s="235">
        <f t="shared" si="74"/>
        <v>52</v>
      </c>
      <c r="G205" s="235">
        <f>References!$B$21</f>
        <v>157</v>
      </c>
      <c r="H205" s="235">
        <f t="shared" si="79"/>
        <v>8164</v>
      </c>
      <c r="I205" s="236">
        <f t="shared" si="80"/>
        <v>6728.4266403745396</v>
      </c>
      <c r="J205" s="237">
        <f>References!$C$51*'Staff Calcs '!I205</f>
        <v>2.9268655885629573</v>
      </c>
      <c r="K205" s="237">
        <f>J205/References!$G$54</f>
        <v>2.984389700031056</v>
      </c>
      <c r="L205" s="237">
        <f t="shared" si="81"/>
        <v>0.25</v>
      </c>
      <c r="M205" s="237">
        <f>'Rate Sheet'!C24</f>
        <v>60.73</v>
      </c>
      <c r="N205" s="237">
        <f t="shared" si="76"/>
        <v>60.98</v>
      </c>
      <c r="O205" s="237">
        <f t="shared" si="72"/>
        <v>0</v>
      </c>
      <c r="P205" s="237">
        <f t="shared" si="77"/>
        <v>0</v>
      </c>
      <c r="Q205" s="237">
        <f t="shared" si="73"/>
        <v>0</v>
      </c>
      <c r="S205" s="303"/>
      <c r="T205" s="351"/>
    </row>
    <row r="206" spans="1:20" s="230" customFormat="1" ht="14.45" customHeight="1">
      <c r="A206" s="365"/>
      <c r="B206" s="231">
        <v>21</v>
      </c>
      <c r="C206" s="232" t="s">
        <v>642</v>
      </c>
      <c r="D206" s="256">
        <v>0</v>
      </c>
      <c r="E206" s="234">
        <f>References!$B$7</f>
        <v>4.333333333333333</v>
      </c>
      <c r="F206" s="235">
        <f t="shared" ref="F206:F210" si="82">E206*12</f>
        <v>52</v>
      </c>
      <c r="G206" s="235">
        <f>References!$B$22</f>
        <v>37</v>
      </c>
      <c r="H206" s="235">
        <f t="shared" si="71"/>
        <v>1924</v>
      </c>
      <c r="I206" s="236">
        <f>$D$219*H206</f>
        <v>1585.6801636551463</v>
      </c>
      <c r="J206" s="237">
        <f>References!$C$51*'Staff Calcs '!I206</f>
        <v>0.68977087118999625</v>
      </c>
      <c r="K206" s="237">
        <f>J206/References!$G$54</f>
        <v>0.70332750892451634</v>
      </c>
      <c r="L206" s="237">
        <f t="shared" si="81"/>
        <v>0.06</v>
      </c>
      <c r="M206" s="237">
        <f>'Rate Sheet'!C30</f>
        <v>18.91</v>
      </c>
      <c r="N206" s="237">
        <f t="shared" ref="N206:N209" si="83">L206+M206</f>
        <v>18.97</v>
      </c>
      <c r="O206" s="237">
        <f t="shared" ref="O206:O210" si="84">D206*M206*12</f>
        <v>0</v>
      </c>
      <c r="P206" s="237">
        <f t="shared" si="77"/>
        <v>0</v>
      </c>
      <c r="Q206" s="237">
        <f t="shared" ref="Q206:Q210" si="85">P206-O206</f>
        <v>0</v>
      </c>
      <c r="S206" s="303"/>
      <c r="T206" s="351"/>
    </row>
    <row r="207" spans="1:20" s="230" customFormat="1">
      <c r="A207" s="365"/>
      <c r="B207" s="231">
        <v>21</v>
      </c>
      <c r="C207" s="232" t="s">
        <v>643</v>
      </c>
      <c r="D207" s="256">
        <v>0</v>
      </c>
      <c r="E207" s="234">
        <f>References!$B$8</f>
        <v>2.1666666666666665</v>
      </c>
      <c r="F207" s="235">
        <f t="shared" si="82"/>
        <v>26</v>
      </c>
      <c r="G207" s="235">
        <f>References!$B$22</f>
        <v>37</v>
      </c>
      <c r="H207" s="235">
        <f t="shared" si="71"/>
        <v>962</v>
      </c>
      <c r="I207" s="236">
        <f>$D$219*H207</f>
        <v>792.84008182757316</v>
      </c>
      <c r="J207" s="237">
        <f>References!$C$51*'Staff Calcs '!I207</f>
        <v>0.34488543559499812</v>
      </c>
      <c r="K207" s="237">
        <f>J207/References!$G$54</f>
        <v>0.35166375446225817</v>
      </c>
      <c r="L207" s="237">
        <f t="shared" si="81"/>
        <v>0.03</v>
      </c>
      <c r="M207" s="237">
        <f>'Rate Sheet'!C31</f>
        <v>12.13</v>
      </c>
      <c r="N207" s="237">
        <f t="shared" si="83"/>
        <v>12.16</v>
      </c>
      <c r="O207" s="237">
        <f t="shared" si="84"/>
        <v>0</v>
      </c>
      <c r="P207" s="237">
        <f t="shared" si="77"/>
        <v>0</v>
      </c>
      <c r="Q207" s="237">
        <f t="shared" si="85"/>
        <v>0</v>
      </c>
      <c r="S207" s="303"/>
      <c r="T207" s="351"/>
    </row>
    <row r="208" spans="1:20" s="230" customFormat="1">
      <c r="A208" s="365"/>
      <c r="B208" s="231">
        <v>21</v>
      </c>
      <c r="C208" s="232" t="s">
        <v>644</v>
      </c>
      <c r="D208" s="256">
        <v>0</v>
      </c>
      <c r="E208" s="234">
        <f>References!$B$8</f>
        <v>2.1666666666666665</v>
      </c>
      <c r="F208" s="235">
        <f t="shared" si="82"/>
        <v>26</v>
      </c>
      <c r="G208" s="235">
        <f>References!$B$22</f>
        <v>37</v>
      </c>
      <c r="H208" s="235">
        <f t="shared" si="71"/>
        <v>962</v>
      </c>
      <c r="I208" s="236">
        <f>$D$219*H208</f>
        <v>792.84008182757316</v>
      </c>
      <c r="J208" s="237">
        <f>References!$C$51*'Staff Calcs '!I208</f>
        <v>0.34488543559499812</v>
      </c>
      <c r="K208" s="237">
        <f>J208/References!$G$54</f>
        <v>0.35166375446225817</v>
      </c>
      <c r="L208" s="237">
        <f t="shared" si="81"/>
        <v>0.03</v>
      </c>
      <c r="M208" s="237">
        <f>'Rate Sheet'!C32</f>
        <v>13.13</v>
      </c>
      <c r="N208" s="237">
        <f t="shared" si="83"/>
        <v>13.16</v>
      </c>
      <c r="O208" s="237">
        <f t="shared" si="84"/>
        <v>0</v>
      </c>
      <c r="P208" s="237">
        <f t="shared" si="77"/>
        <v>0</v>
      </c>
      <c r="Q208" s="237">
        <f t="shared" si="85"/>
        <v>0</v>
      </c>
      <c r="S208" s="303"/>
      <c r="T208" s="351"/>
    </row>
    <row r="209" spans="1:20" s="230" customFormat="1">
      <c r="A209" s="365"/>
      <c r="B209" s="231">
        <v>21</v>
      </c>
      <c r="C209" s="232" t="s">
        <v>645</v>
      </c>
      <c r="D209" s="256">
        <v>0</v>
      </c>
      <c r="E209" s="234">
        <f>References!$B$9</f>
        <v>1</v>
      </c>
      <c r="F209" s="235">
        <f t="shared" si="82"/>
        <v>12</v>
      </c>
      <c r="G209" s="235">
        <f>References!$B$22</f>
        <v>37</v>
      </c>
      <c r="H209" s="235">
        <f t="shared" si="71"/>
        <v>444</v>
      </c>
      <c r="I209" s="236">
        <f>$D$219*H209</f>
        <v>365.92619161272609</v>
      </c>
      <c r="J209" s="237">
        <f>References!$C$51*'Staff Calcs '!I209</f>
        <v>0.15917789335153762</v>
      </c>
      <c r="K209" s="237">
        <f>J209/References!$G$54</f>
        <v>0.16230634821334994</v>
      </c>
      <c r="L209" s="237">
        <f t="shared" si="81"/>
        <v>0.01</v>
      </c>
      <c r="M209" s="237">
        <f>'Rate Sheet'!C33</f>
        <v>9.07</v>
      </c>
      <c r="N209" s="237">
        <f t="shared" si="83"/>
        <v>9.08</v>
      </c>
      <c r="O209" s="237">
        <f t="shared" si="84"/>
        <v>0</v>
      </c>
      <c r="P209" s="237">
        <f t="shared" si="77"/>
        <v>0</v>
      </c>
      <c r="Q209" s="237">
        <f t="shared" si="85"/>
        <v>0</v>
      </c>
      <c r="S209" s="303"/>
      <c r="T209" s="351"/>
    </row>
    <row r="210" spans="1:20" s="230" customFormat="1">
      <c r="A210" s="366"/>
      <c r="B210" s="241">
        <v>21</v>
      </c>
      <c r="C210" s="242" t="s">
        <v>646</v>
      </c>
      <c r="D210" s="270"/>
      <c r="E210" s="244">
        <f>References!$B$9</f>
        <v>1</v>
      </c>
      <c r="F210" s="269">
        <f t="shared" si="82"/>
        <v>12</v>
      </c>
      <c r="G210" s="269">
        <f>References!$B$22</f>
        <v>37</v>
      </c>
      <c r="H210" s="269">
        <f t="shared" si="71"/>
        <v>444</v>
      </c>
      <c r="I210" s="245">
        <f>$D$219*H210</f>
        <v>365.92619161272609</v>
      </c>
      <c r="J210" s="246">
        <f>References!$C$51*'Staff Calcs '!I210</f>
        <v>0.15917789335153762</v>
      </c>
      <c r="K210" s="246">
        <f>J210/References!$G$54</f>
        <v>0.16230634821334994</v>
      </c>
      <c r="L210" s="237">
        <f t="shared" si="81"/>
        <v>0.01</v>
      </c>
      <c r="M210" s="246">
        <f>'Rate Sheet'!C34</f>
        <v>10.07</v>
      </c>
      <c r="N210" s="246">
        <f t="shared" ref="N210" si="86">L210+M210</f>
        <v>10.08</v>
      </c>
      <c r="O210" s="246">
        <f t="shared" si="84"/>
        <v>0</v>
      </c>
      <c r="P210" s="246">
        <f t="shared" si="77"/>
        <v>0</v>
      </c>
      <c r="Q210" s="246">
        <f t="shared" si="85"/>
        <v>0</v>
      </c>
      <c r="S210" s="303"/>
      <c r="T210" s="351"/>
    </row>
    <row r="211" spans="1:20">
      <c r="A211" s="271"/>
      <c r="C211" s="272"/>
      <c r="D211" s="273"/>
      <c r="E211" s="274"/>
      <c r="F211" s="256"/>
      <c r="G211" s="235"/>
      <c r="H211" s="256"/>
      <c r="J211" s="237"/>
      <c r="K211" s="238"/>
      <c r="L211" s="238"/>
      <c r="M211" s="238"/>
      <c r="N211" s="238"/>
      <c r="S211" s="293"/>
    </row>
    <row r="212" spans="1:20">
      <c r="A212" s="271"/>
      <c r="C212" s="275"/>
    </row>
    <row r="213" spans="1:20">
      <c r="A213" s="271"/>
      <c r="C213" s="275"/>
    </row>
    <row r="214" spans="1:20">
      <c r="A214" s="271"/>
      <c r="C214" s="363" t="s">
        <v>626</v>
      </c>
      <c r="D214" s="363"/>
      <c r="E214" s="276"/>
      <c r="F214" s="276"/>
      <c r="H214" s="309"/>
    </row>
    <row r="215" spans="1:20">
      <c r="A215" s="271"/>
      <c r="D215" s="277" t="s">
        <v>368</v>
      </c>
      <c r="E215" s="164" t="s">
        <v>633</v>
      </c>
      <c r="F215" s="278"/>
      <c r="H215" s="279" t="s">
        <v>651</v>
      </c>
      <c r="J215" s="280"/>
      <c r="O215" s="259"/>
      <c r="P215" s="280"/>
    </row>
    <row r="216" spans="1:20">
      <c r="A216" s="271"/>
      <c r="C216" s="221" t="s">
        <v>627</v>
      </c>
      <c r="D216" s="308">
        <f>References!B58</f>
        <v>66100.327620506214</v>
      </c>
      <c r="E216" s="308">
        <f>References!C58</f>
        <v>4850.3900000000003</v>
      </c>
      <c r="F216" s="256"/>
      <c r="G216" s="281"/>
      <c r="H216" s="282" t="s">
        <v>628</v>
      </c>
      <c r="J216" s="280"/>
      <c r="O216" s="259"/>
      <c r="P216" s="238"/>
    </row>
    <row r="217" spans="1:20">
      <c r="A217" s="271"/>
      <c r="C217" s="221" t="s">
        <v>629</v>
      </c>
      <c r="D217" s="283">
        <f>D216*2000</f>
        <v>132200655.24101242</v>
      </c>
      <c r="E217" s="283">
        <f>E216*2000</f>
        <v>9700780</v>
      </c>
      <c r="F217" s="283"/>
      <c r="G217" s="283"/>
      <c r="H217" s="284"/>
      <c r="J217" s="280"/>
      <c r="P217" s="238"/>
    </row>
    <row r="218" spans="1:20">
      <c r="A218" s="271"/>
      <c r="C218" s="221" t="s">
        <v>630</v>
      </c>
      <c r="D218" s="300">
        <f>F65+F182</f>
        <v>2275569.4287936562</v>
      </c>
      <c r="E218" s="283">
        <f>F190</f>
        <v>218742</v>
      </c>
      <c r="F218" s="256"/>
      <c r="G218" s="256"/>
      <c r="H218" s="285" t="s">
        <v>631</v>
      </c>
      <c r="J218" s="280"/>
      <c r="O218" s="259"/>
      <c r="P218" s="238"/>
    </row>
    <row r="219" spans="1:20">
      <c r="C219" s="286" t="s">
        <v>632</v>
      </c>
      <c r="D219" s="287">
        <f>D217/$H$183</f>
        <v>0.8241580892178515</v>
      </c>
      <c r="E219" s="287">
        <f>E217/$H$190</f>
        <v>0.73337936871848708</v>
      </c>
      <c r="F219" s="287"/>
      <c r="G219" s="287"/>
      <c r="H219" s="288"/>
      <c r="J219" s="280"/>
      <c r="M219" s="289"/>
      <c r="N219" s="289"/>
      <c r="O219" s="290"/>
      <c r="P219" s="290"/>
    </row>
    <row r="220" spans="1:20">
      <c r="G220" s="291"/>
      <c r="H220" s="292"/>
      <c r="J220" s="280"/>
      <c r="M220" s="293"/>
      <c r="N220" s="294"/>
      <c r="O220" s="261"/>
      <c r="P220" s="288"/>
    </row>
    <row r="221" spans="1:20">
      <c r="D221" s="295"/>
      <c r="E221" s="296"/>
      <c r="G221" s="291"/>
      <c r="H221" s="292"/>
      <c r="J221" s="280"/>
      <c r="M221" s="293"/>
      <c r="N221" s="294"/>
      <c r="O221" s="261"/>
      <c r="P221" s="288"/>
    </row>
    <row r="222" spans="1:20">
      <c r="D222" s="295"/>
      <c r="E222" s="333"/>
      <c r="G222" s="291"/>
      <c r="H222" s="292"/>
      <c r="J222" s="280"/>
      <c r="M222" s="293"/>
      <c r="N222" s="294"/>
      <c r="O222" s="261"/>
      <c r="P222" s="288"/>
    </row>
    <row r="223" spans="1:20">
      <c r="D223" s="221"/>
      <c r="E223" s="333"/>
      <c r="I223" s="221"/>
    </row>
    <row r="224" spans="1:20">
      <c r="D224" s="293"/>
      <c r="E224" s="333"/>
      <c r="I224" s="221"/>
    </row>
    <row r="225" spans="4:9">
      <c r="D225" s="221"/>
      <c r="E225" s="280"/>
      <c r="I225" s="221"/>
    </row>
    <row r="226" spans="4:9">
      <c r="D226" s="221"/>
      <c r="I226" s="221"/>
    </row>
    <row r="227" spans="4:9">
      <c r="D227" s="221"/>
    </row>
  </sheetData>
  <mergeCells count="7">
    <mergeCell ref="B1:H1"/>
    <mergeCell ref="C214:D214"/>
    <mergeCell ref="A3:A63"/>
    <mergeCell ref="A195:A201"/>
    <mergeCell ref="A66:A181"/>
    <mergeCell ref="A185:A189"/>
    <mergeCell ref="A202:A210"/>
  </mergeCells>
  <pageMargins left="0.2" right="0.22" top="0.63" bottom="0.34" header="0.19" footer="0.17"/>
  <pageSetup scale="49" fitToHeight="0" orientation="landscape" r:id="rId1"/>
  <headerFooter>
    <oddHeader>&amp;C&amp;"-,Bold"&amp;12Harold LeMay Enterprises, Inc.
dba Pierce Cunty Refuse&amp;"-,Regular"
Disposal Fee Calculations</oddHeader>
    <oddFooter>&amp;L&amp;F - &amp;A&amp;C&amp;D&amp;R&amp;P of &amp;N</oddFooter>
  </headerFooter>
  <ignoredErrors>
    <ignoredError sqref="G83 E89" formula="1"/>
  </ignoredErrors>
  <legacyDrawing r:id="rId2"/>
</worksheet>
</file>

<file path=xl/worksheets/sheet3.xml><?xml version="1.0" encoding="utf-8"?>
<worksheet xmlns="http://schemas.openxmlformats.org/spreadsheetml/2006/main" xmlns:r="http://schemas.openxmlformats.org/officeDocument/2006/relationships">
  <dimension ref="A1:F170"/>
  <sheetViews>
    <sheetView view="pageBreakPreview" zoomScale="60" zoomScaleNormal="100" workbookViewId="0">
      <selection activeCell="K27" sqref="K27"/>
    </sheetView>
  </sheetViews>
  <sheetFormatPr defaultColWidth="9.140625" defaultRowHeight="12.75"/>
  <cols>
    <col min="1" max="1" width="23.85546875" style="150" customWidth="1"/>
    <col min="2" max="2" width="9.140625" style="149" customWidth="1"/>
    <col min="3" max="3" width="9.42578125" style="150" bestFit="1" customWidth="1"/>
    <col min="4" max="4" width="9.140625" style="150" customWidth="1"/>
    <col min="5" max="5" width="11.5703125" style="150" bestFit="1" customWidth="1"/>
    <col min="6" max="6" width="5.28515625" style="150" customWidth="1"/>
    <col min="7" max="16384" width="9.140625" style="150"/>
  </cols>
  <sheetData>
    <row r="1" spans="1:6">
      <c r="A1" s="148" t="s">
        <v>440</v>
      </c>
    </row>
    <row r="2" spans="1:6">
      <c r="A2" s="148" t="s">
        <v>439</v>
      </c>
    </row>
    <row r="3" spans="1:6">
      <c r="A3" s="148" t="s">
        <v>660</v>
      </c>
    </row>
    <row r="4" spans="1:6">
      <c r="A4" s="148"/>
    </row>
    <row r="5" spans="1:6">
      <c r="A5" s="139"/>
      <c r="B5" s="139"/>
      <c r="C5" s="339" t="s">
        <v>511</v>
      </c>
      <c r="D5" s="140"/>
      <c r="E5" s="141" t="s">
        <v>452</v>
      </c>
      <c r="F5" s="139"/>
    </row>
    <row r="6" spans="1:6">
      <c r="A6" s="139"/>
      <c r="B6" s="139"/>
      <c r="C6" s="339" t="s">
        <v>450</v>
      </c>
      <c r="D6" s="141" t="s">
        <v>451</v>
      </c>
      <c r="E6" s="141" t="s">
        <v>449</v>
      </c>
      <c r="F6" s="139"/>
    </row>
    <row r="7" spans="1:6">
      <c r="A7" s="139"/>
      <c r="B7" s="139"/>
      <c r="C7" s="353" t="s">
        <v>512</v>
      </c>
      <c r="D7" s="354" t="s">
        <v>441</v>
      </c>
      <c r="E7" s="355">
        <v>42430</v>
      </c>
      <c r="F7" s="142"/>
    </row>
    <row r="8" spans="1:6">
      <c r="A8" s="140" t="s">
        <v>453</v>
      </c>
      <c r="B8" s="140"/>
      <c r="C8" s="143"/>
      <c r="D8" s="139"/>
      <c r="E8" s="139"/>
      <c r="F8" s="139"/>
    </row>
    <row r="9" spans="1:6">
      <c r="A9" s="139" t="s">
        <v>454</v>
      </c>
      <c r="B9" s="139" t="s">
        <v>455</v>
      </c>
      <c r="C9" s="144">
        <v>7.41</v>
      </c>
      <c r="D9" s="145">
        <f>ROUND('Staff Calcs '!L36,2)</f>
        <v>0.01</v>
      </c>
      <c r="E9" s="145">
        <f>ROUND(C9+D9,2)</f>
        <v>7.42</v>
      </c>
      <c r="F9" s="145"/>
    </row>
    <row r="10" spans="1:6">
      <c r="B10" s="150"/>
      <c r="C10" s="350"/>
    </row>
    <row r="11" spans="1:6">
      <c r="A11" s="140" t="s">
        <v>456</v>
      </c>
      <c r="B11" s="140"/>
      <c r="C11" s="144"/>
      <c r="D11" s="139"/>
      <c r="E11" s="139"/>
      <c r="F11" s="139"/>
    </row>
    <row r="12" spans="1:6">
      <c r="A12" s="139" t="s">
        <v>457</v>
      </c>
      <c r="B12" s="139" t="s">
        <v>455</v>
      </c>
      <c r="C12" s="144">
        <v>13.25</v>
      </c>
      <c r="D12" s="145">
        <f>ROUND('Staff Calcs '!L3,2)</f>
        <v>0.03</v>
      </c>
      <c r="E12" s="145">
        <f t="shared" ref="E12:E27" si="0">ROUND(C12+D12,2)</f>
        <v>13.28</v>
      </c>
      <c r="F12" s="139"/>
    </row>
    <row r="13" spans="1:6">
      <c r="A13" s="139" t="s">
        <v>458</v>
      </c>
      <c r="B13" s="139" t="s">
        <v>459</v>
      </c>
      <c r="C13" s="144">
        <v>14.25</v>
      </c>
      <c r="D13" s="145">
        <f>D12</f>
        <v>0.03</v>
      </c>
      <c r="E13" s="145">
        <f t="shared" si="0"/>
        <v>14.28</v>
      </c>
      <c r="F13" s="139"/>
    </row>
    <row r="14" spans="1:6">
      <c r="A14" s="139" t="s">
        <v>460</v>
      </c>
      <c r="B14" s="139" t="s">
        <v>455</v>
      </c>
      <c r="C14" s="144">
        <v>17.739999999999998</v>
      </c>
      <c r="D14" s="145">
        <f>ROUND('Staff Calcs '!L7,2)</f>
        <v>0.05</v>
      </c>
      <c r="E14" s="145">
        <f t="shared" si="0"/>
        <v>17.79</v>
      </c>
      <c r="F14" s="139"/>
    </row>
    <row r="15" spans="1:6">
      <c r="A15" s="139" t="s">
        <v>460</v>
      </c>
      <c r="B15" s="139" t="s">
        <v>459</v>
      </c>
      <c r="C15" s="144">
        <v>18.739999999999998</v>
      </c>
      <c r="D15" s="145">
        <f>D14</f>
        <v>0.05</v>
      </c>
      <c r="E15" s="145">
        <f t="shared" si="0"/>
        <v>18.79</v>
      </c>
      <c r="F15" s="139"/>
    </row>
    <row r="16" spans="1:6">
      <c r="A16" s="139" t="s">
        <v>461</v>
      </c>
      <c r="B16" s="139" t="s">
        <v>455</v>
      </c>
      <c r="C16" s="144">
        <v>26.11</v>
      </c>
      <c r="D16" s="145">
        <f>ROUND('Staff Calcs '!L9,2)</f>
        <v>0.08</v>
      </c>
      <c r="E16" s="145">
        <f t="shared" si="0"/>
        <v>26.19</v>
      </c>
      <c r="F16" s="139"/>
    </row>
    <row r="17" spans="1:6">
      <c r="A17" s="139" t="s">
        <v>461</v>
      </c>
      <c r="B17" s="139" t="s">
        <v>459</v>
      </c>
      <c r="C17" s="144">
        <v>28.11</v>
      </c>
      <c r="D17" s="145">
        <f>D16</f>
        <v>0.08</v>
      </c>
      <c r="E17" s="145">
        <f t="shared" si="0"/>
        <v>28.19</v>
      </c>
      <c r="F17" s="139"/>
    </row>
    <row r="18" spans="1:6">
      <c r="A18" s="139" t="s">
        <v>462</v>
      </c>
      <c r="B18" s="139" t="s">
        <v>455</v>
      </c>
      <c r="C18" s="144">
        <v>34.93</v>
      </c>
      <c r="D18" s="145">
        <f>ROUND('Staff Calcs '!L11,2)</f>
        <v>0.12</v>
      </c>
      <c r="E18" s="145">
        <f t="shared" si="0"/>
        <v>35.049999999999997</v>
      </c>
    </row>
    <row r="19" spans="1:6">
      <c r="A19" s="139" t="s">
        <v>462</v>
      </c>
      <c r="B19" s="139" t="s">
        <v>459</v>
      </c>
      <c r="C19" s="144">
        <v>37.93</v>
      </c>
      <c r="D19" s="145">
        <f>D18</f>
        <v>0.12</v>
      </c>
      <c r="E19" s="145">
        <f t="shared" si="0"/>
        <v>38.049999999999997</v>
      </c>
    </row>
    <row r="20" spans="1:6">
      <c r="A20" s="139" t="s">
        <v>463</v>
      </c>
      <c r="B20" s="139" t="s">
        <v>455</v>
      </c>
      <c r="C20" s="144">
        <v>43.37</v>
      </c>
      <c r="D20" s="145">
        <f>ROUND('Staff Calcs '!L13,2)</f>
        <v>0.15</v>
      </c>
      <c r="E20" s="145">
        <f t="shared" si="0"/>
        <v>43.52</v>
      </c>
    </row>
    <row r="21" spans="1:6">
      <c r="A21" s="139" t="s">
        <v>463</v>
      </c>
      <c r="B21" s="139" t="s">
        <v>459</v>
      </c>
      <c r="C21" s="144">
        <v>47.37</v>
      </c>
      <c r="D21" s="145">
        <f>D20</f>
        <v>0.15</v>
      </c>
      <c r="E21" s="145">
        <f t="shared" si="0"/>
        <v>47.52</v>
      </c>
    </row>
    <row r="22" spans="1:6">
      <c r="A22" s="139" t="s">
        <v>464</v>
      </c>
      <c r="B22" s="139" t="s">
        <v>455</v>
      </c>
      <c r="C22" s="144">
        <v>52.09</v>
      </c>
      <c r="D22" s="145">
        <f>ROUND('Staff Calcs '!L202,2)</f>
        <v>0.19</v>
      </c>
      <c r="E22" s="145">
        <f t="shared" si="0"/>
        <v>52.28</v>
      </c>
    </row>
    <row r="23" spans="1:6">
      <c r="A23" s="139" t="s">
        <v>464</v>
      </c>
      <c r="B23" s="139" t="s">
        <v>459</v>
      </c>
      <c r="C23" s="144">
        <v>57.09</v>
      </c>
      <c r="D23" s="145">
        <f>D22</f>
        <v>0.19</v>
      </c>
      <c r="E23" s="145">
        <f t="shared" si="0"/>
        <v>57.28</v>
      </c>
    </row>
    <row r="24" spans="1:6">
      <c r="A24" s="139" t="s">
        <v>465</v>
      </c>
      <c r="B24" s="139" t="s">
        <v>455</v>
      </c>
      <c r="C24" s="144">
        <v>60.73</v>
      </c>
      <c r="D24" s="145">
        <f>ROUND('Staff Calcs '!L204,2)</f>
        <v>0.25</v>
      </c>
      <c r="E24" s="145">
        <f t="shared" si="0"/>
        <v>60.98</v>
      </c>
    </row>
    <row r="25" spans="1:6">
      <c r="A25" s="139" t="s">
        <v>465</v>
      </c>
      <c r="B25" s="139" t="s">
        <v>459</v>
      </c>
      <c r="C25" s="144">
        <v>66.73</v>
      </c>
      <c r="D25" s="145">
        <f>D24</f>
        <v>0.25</v>
      </c>
      <c r="E25" s="145">
        <f t="shared" si="0"/>
        <v>66.98</v>
      </c>
    </row>
    <row r="26" spans="1:6">
      <c r="A26" s="139" t="s">
        <v>460</v>
      </c>
      <c r="B26" s="139" t="s">
        <v>469</v>
      </c>
      <c r="C26" s="144">
        <v>7.29</v>
      </c>
      <c r="D26" s="146">
        <f>ROUND('Staff Calcs '!L5,2)</f>
        <v>0.01</v>
      </c>
      <c r="E26" s="145">
        <f t="shared" si="0"/>
        <v>7.3</v>
      </c>
    </row>
    <row r="27" spans="1:6">
      <c r="A27" s="139" t="s">
        <v>460</v>
      </c>
      <c r="B27" s="139" t="s">
        <v>470</v>
      </c>
      <c r="C27" s="144">
        <v>8.2899999999999991</v>
      </c>
      <c r="D27" s="146">
        <f>D26</f>
        <v>0.01</v>
      </c>
      <c r="E27" s="145">
        <f t="shared" si="0"/>
        <v>8.3000000000000007</v>
      </c>
    </row>
    <row r="28" spans="1:6">
      <c r="A28" s="139"/>
      <c r="B28" s="139"/>
      <c r="C28" s="144"/>
      <c r="D28" s="139"/>
      <c r="E28" s="139"/>
    </row>
    <row r="29" spans="1:6">
      <c r="A29" s="139" t="s">
        <v>466</v>
      </c>
      <c r="B29" s="139" t="s">
        <v>455</v>
      </c>
      <c r="C29" s="144">
        <v>17.91</v>
      </c>
      <c r="D29" s="146">
        <f>ROUND('Staff Calcs '!L16,2)</f>
        <v>0.06</v>
      </c>
      <c r="E29" s="145">
        <f t="shared" ref="E29:E46" si="1">ROUND(C29+D29,2)</f>
        <v>17.97</v>
      </c>
    </row>
    <row r="30" spans="1:6">
      <c r="A30" s="139" t="s">
        <v>466</v>
      </c>
      <c r="B30" s="139" t="s">
        <v>459</v>
      </c>
      <c r="C30" s="144">
        <v>18.91</v>
      </c>
      <c r="D30" s="146">
        <f>D29</f>
        <v>0.06</v>
      </c>
      <c r="E30" s="145">
        <f t="shared" si="1"/>
        <v>18.97</v>
      </c>
    </row>
    <row r="31" spans="1:6">
      <c r="A31" s="139" t="s">
        <v>466</v>
      </c>
      <c r="B31" s="139" t="s">
        <v>467</v>
      </c>
      <c r="C31" s="144">
        <v>12.13</v>
      </c>
      <c r="D31" s="146">
        <f>ROUND('Staff Calcs '!L207,2)</f>
        <v>0.03</v>
      </c>
      <c r="E31" s="145">
        <f t="shared" si="1"/>
        <v>12.16</v>
      </c>
    </row>
    <row r="32" spans="1:6">
      <c r="A32" s="139" t="s">
        <v>466</v>
      </c>
      <c r="B32" s="139" t="s">
        <v>468</v>
      </c>
      <c r="C32" s="144">
        <v>13.13</v>
      </c>
      <c r="D32" s="146">
        <f>D31</f>
        <v>0.03</v>
      </c>
      <c r="E32" s="145">
        <f t="shared" si="1"/>
        <v>13.16</v>
      </c>
    </row>
    <row r="33" spans="1:6">
      <c r="A33" s="139" t="s">
        <v>466</v>
      </c>
      <c r="B33" s="139" t="s">
        <v>469</v>
      </c>
      <c r="C33" s="144">
        <v>9.07</v>
      </c>
      <c r="D33" s="146">
        <f>ROUND('Staff Calcs '!L209,2)</f>
        <v>0.01</v>
      </c>
      <c r="E33" s="145">
        <f t="shared" si="1"/>
        <v>9.08</v>
      </c>
    </row>
    <row r="34" spans="1:6">
      <c r="A34" s="139" t="s">
        <v>466</v>
      </c>
      <c r="B34" s="139" t="s">
        <v>470</v>
      </c>
      <c r="C34" s="144">
        <v>10.07</v>
      </c>
      <c r="D34" s="146">
        <f>D33</f>
        <v>0.01</v>
      </c>
      <c r="E34" s="145">
        <f t="shared" si="1"/>
        <v>10.08</v>
      </c>
    </row>
    <row r="35" spans="1:6">
      <c r="A35" s="139" t="s">
        <v>471</v>
      </c>
      <c r="B35" s="139" t="s">
        <v>455</v>
      </c>
      <c r="C35" s="144">
        <v>24.94</v>
      </c>
      <c r="D35" s="146">
        <f>ROUND('Staff Calcs '!L20,2)</f>
        <v>7.0000000000000007E-2</v>
      </c>
      <c r="E35" s="145">
        <f t="shared" si="1"/>
        <v>25.01</v>
      </c>
      <c r="F35" s="139"/>
    </row>
    <row r="36" spans="1:6">
      <c r="A36" s="139" t="s">
        <v>471</v>
      </c>
      <c r="B36" s="139" t="s">
        <v>459</v>
      </c>
      <c r="C36" s="144">
        <v>26.94</v>
      </c>
      <c r="D36" s="146">
        <f>D35</f>
        <v>7.0000000000000007E-2</v>
      </c>
      <c r="E36" s="145">
        <f t="shared" si="1"/>
        <v>27.01</v>
      </c>
      <c r="F36" s="139"/>
    </row>
    <row r="37" spans="1:6">
      <c r="A37" s="139" t="s">
        <v>471</v>
      </c>
      <c r="B37" s="139" t="s">
        <v>467</v>
      </c>
      <c r="C37" s="144">
        <v>15.74</v>
      </c>
      <c r="D37" s="146">
        <f>ROUND('Staff Calcs '!L22,2)</f>
        <v>0.04</v>
      </c>
      <c r="E37" s="145">
        <f t="shared" si="1"/>
        <v>15.78</v>
      </c>
      <c r="F37" s="146"/>
    </row>
    <row r="38" spans="1:6">
      <c r="A38" s="139" t="s">
        <v>471</v>
      </c>
      <c r="B38" s="139" t="s">
        <v>468</v>
      </c>
      <c r="C38" s="144">
        <v>17.739999999999998</v>
      </c>
      <c r="D38" s="146">
        <f>D37</f>
        <v>0.04</v>
      </c>
      <c r="E38" s="145">
        <f t="shared" si="1"/>
        <v>17.78</v>
      </c>
      <c r="F38" s="139"/>
    </row>
    <row r="39" spans="1:6">
      <c r="A39" s="139" t="s">
        <v>471</v>
      </c>
      <c r="B39" s="139" t="s">
        <v>469</v>
      </c>
      <c r="C39" s="144">
        <v>9.0299999999999994</v>
      </c>
      <c r="D39" s="146">
        <f>ROUND('Staff Calcs '!L18,2)</f>
        <v>0.02</v>
      </c>
      <c r="E39" s="145">
        <f t="shared" si="1"/>
        <v>9.0500000000000007</v>
      </c>
      <c r="F39" s="139"/>
    </row>
    <row r="40" spans="1:6">
      <c r="A40" s="139" t="s">
        <v>471</v>
      </c>
      <c r="B40" s="139" t="s">
        <v>470</v>
      </c>
      <c r="C40" s="144">
        <v>11.03</v>
      </c>
      <c r="D40" s="146">
        <f>D39</f>
        <v>0.02</v>
      </c>
      <c r="E40" s="145">
        <f t="shared" si="1"/>
        <v>11.05</v>
      </c>
      <c r="F40" s="139"/>
    </row>
    <row r="41" spans="1:6">
      <c r="A41" s="139" t="s">
        <v>472</v>
      </c>
      <c r="B41" s="139" t="s">
        <v>455</v>
      </c>
      <c r="C41" s="144">
        <v>32.840000000000003</v>
      </c>
      <c r="D41" s="146">
        <f>ROUND('Staff Calcs '!L27,2)</f>
        <v>0.11</v>
      </c>
      <c r="E41" s="145">
        <f t="shared" si="1"/>
        <v>32.950000000000003</v>
      </c>
      <c r="F41" s="139"/>
    </row>
    <row r="42" spans="1:6">
      <c r="A42" s="139" t="s">
        <v>472</v>
      </c>
      <c r="B42" s="139" t="s">
        <v>459</v>
      </c>
      <c r="C42" s="144">
        <v>35.840000000000003</v>
      </c>
      <c r="D42" s="146">
        <f>D41</f>
        <v>0.11</v>
      </c>
      <c r="E42" s="145">
        <f t="shared" si="1"/>
        <v>35.950000000000003</v>
      </c>
      <c r="F42" s="139"/>
    </row>
    <row r="43" spans="1:6">
      <c r="A43" s="139" t="s">
        <v>472</v>
      </c>
      <c r="B43" s="139" t="s">
        <v>467</v>
      </c>
      <c r="C43" s="144">
        <v>20.57</v>
      </c>
      <c r="D43" s="146">
        <f>ROUND('Staff Calcs '!L29,2)</f>
        <v>0.05</v>
      </c>
      <c r="E43" s="145">
        <f t="shared" si="1"/>
        <v>20.62</v>
      </c>
      <c r="F43" s="139"/>
    </row>
    <row r="44" spans="1:6">
      <c r="A44" s="139" t="s">
        <v>472</v>
      </c>
      <c r="B44" s="139" t="s">
        <v>468</v>
      </c>
      <c r="C44" s="144">
        <v>23.57</v>
      </c>
      <c r="D44" s="146">
        <f>D43</f>
        <v>0.05</v>
      </c>
      <c r="E44" s="145">
        <f t="shared" si="1"/>
        <v>23.62</v>
      </c>
      <c r="F44" s="139"/>
    </row>
    <row r="45" spans="1:6">
      <c r="A45" s="139" t="s">
        <v>472</v>
      </c>
      <c r="B45" s="139" t="s">
        <v>469</v>
      </c>
      <c r="C45" s="144">
        <v>12.37</v>
      </c>
      <c r="D45" s="146">
        <f>ROUND('Staff Calcs '!L25,2)</f>
        <v>0.02</v>
      </c>
      <c r="E45" s="145">
        <f t="shared" si="1"/>
        <v>12.39</v>
      </c>
      <c r="F45" s="139"/>
    </row>
    <row r="46" spans="1:6">
      <c r="A46" s="139" t="s">
        <v>472</v>
      </c>
      <c r="B46" s="139" t="s">
        <v>470</v>
      </c>
      <c r="C46" s="144">
        <v>15.37</v>
      </c>
      <c r="D46" s="146">
        <f>D45</f>
        <v>0.02</v>
      </c>
      <c r="E46" s="145">
        <f t="shared" si="1"/>
        <v>15.39</v>
      </c>
      <c r="F46" s="139"/>
    </row>
    <row r="47" spans="1:6">
      <c r="A47" s="139"/>
      <c r="B47" s="139"/>
      <c r="C47" s="144"/>
      <c r="D47" s="139"/>
      <c r="E47" s="139"/>
      <c r="F47" s="139"/>
    </row>
    <row r="48" spans="1:6">
      <c r="A48" s="140" t="s">
        <v>473</v>
      </c>
      <c r="B48" s="139"/>
      <c r="C48" s="144"/>
      <c r="D48" s="139"/>
      <c r="E48" s="139"/>
      <c r="F48" s="139"/>
    </row>
    <row r="49" spans="1:6">
      <c r="A49" s="139" t="s">
        <v>474</v>
      </c>
      <c r="B49" s="139" t="s">
        <v>475</v>
      </c>
      <c r="C49" s="144">
        <v>4.1100000000000003</v>
      </c>
      <c r="D49" s="145">
        <f>ROUND('Staff Calcs '!L34,2)</f>
        <v>0.01</v>
      </c>
      <c r="E49" s="145">
        <f t="shared" ref="E49:E53" si="2">ROUND(C49+D49,2)</f>
        <v>4.12</v>
      </c>
      <c r="F49" s="139"/>
    </row>
    <row r="50" spans="1:6">
      <c r="A50" s="139" t="s">
        <v>471</v>
      </c>
      <c r="B50" s="139" t="s">
        <v>475</v>
      </c>
      <c r="C50" s="144">
        <v>8.93</v>
      </c>
      <c r="D50" s="145">
        <f>ROUND('Staff Calcs '!L39,2)</f>
        <v>0.02</v>
      </c>
      <c r="E50" s="145">
        <f t="shared" si="2"/>
        <v>8.9499999999999993</v>
      </c>
      <c r="F50" s="139"/>
    </row>
    <row r="51" spans="1:6">
      <c r="A51" s="139" t="s">
        <v>472</v>
      </c>
      <c r="B51" s="139" t="s">
        <v>475</v>
      </c>
      <c r="C51" s="144">
        <v>11.72</v>
      </c>
      <c r="D51" s="145">
        <f>ROUND('Staff Calcs '!L40,2)</f>
        <v>0.02</v>
      </c>
      <c r="E51" s="145">
        <f t="shared" si="2"/>
        <v>11.74</v>
      </c>
      <c r="F51" s="139"/>
    </row>
    <row r="52" spans="1:6">
      <c r="A52" s="139" t="s">
        <v>476</v>
      </c>
      <c r="B52" s="139" t="s">
        <v>475</v>
      </c>
      <c r="C52" s="144">
        <v>7.61</v>
      </c>
      <c r="D52" s="145">
        <f>ROUND('Staff Calcs '!L57,2)</f>
        <v>0.01</v>
      </c>
      <c r="E52" s="145">
        <f t="shared" si="2"/>
        <v>7.62</v>
      </c>
      <c r="F52" s="139"/>
    </row>
    <row r="53" spans="1:6">
      <c r="A53" s="139" t="s">
        <v>442</v>
      </c>
      <c r="B53" s="139" t="s">
        <v>475</v>
      </c>
      <c r="C53" s="144">
        <v>4.8099999999999996</v>
      </c>
      <c r="D53" s="145">
        <f>ROUND('Staff Calcs '!L55,2)</f>
        <v>0.01</v>
      </c>
      <c r="E53" s="145">
        <f t="shared" si="2"/>
        <v>4.82</v>
      </c>
      <c r="F53" s="139"/>
    </row>
    <row r="54" spans="1:6">
      <c r="A54" s="139"/>
      <c r="B54" s="139"/>
      <c r="C54" s="144"/>
      <c r="D54" s="139"/>
      <c r="E54" s="139"/>
      <c r="F54" s="139"/>
    </row>
    <row r="55" spans="1:6">
      <c r="A55" s="140" t="s">
        <v>653</v>
      </c>
      <c r="B55" s="139"/>
      <c r="C55" s="144"/>
      <c r="D55" s="139"/>
      <c r="E55" s="139"/>
      <c r="F55" s="139"/>
    </row>
    <row r="56" spans="1:6">
      <c r="A56" s="139" t="s">
        <v>471</v>
      </c>
      <c r="B56" s="139" t="s">
        <v>477</v>
      </c>
      <c r="C56" s="144">
        <v>21.29</v>
      </c>
      <c r="D56" s="144">
        <f>'Staff Calcs '!L185</f>
        <v>0</v>
      </c>
      <c r="E56" s="145">
        <f t="shared" ref="E56:E57" si="3">ROUND(C56+D56,2)</f>
        <v>21.29</v>
      </c>
      <c r="F56" s="139"/>
    </row>
    <row r="57" spans="1:6">
      <c r="A57" s="139" t="s">
        <v>472</v>
      </c>
      <c r="B57" s="139" t="s">
        <v>477</v>
      </c>
      <c r="C57" s="144">
        <v>27.72</v>
      </c>
      <c r="D57" s="144">
        <f>'Staff Calcs '!L186</f>
        <v>0</v>
      </c>
      <c r="E57" s="145">
        <f t="shared" si="3"/>
        <v>27.72</v>
      </c>
      <c r="F57" s="139"/>
    </row>
    <row r="58" spans="1:6">
      <c r="B58" s="150"/>
      <c r="C58" s="350"/>
      <c r="D58" s="175"/>
    </row>
    <row r="59" spans="1:6">
      <c r="A59" s="140" t="s">
        <v>654</v>
      </c>
      <c r="B59" s="139"/>
      <c r="C59" s="144"/>
      <c r="D59" s="143"/>
      <c r="E59" s="139"/>
      <c r="F59" s="139"/>
    </row>
    <row r="60" spans="1:6">
      <c r="A60" s="139" t="s">
        <v>474</v>
      </c>
      <c r="B60" s="139" t="s">
        <v>475</v>
      </c>
      <c r="C60" s="144">
        <v>3.53</v>
      </c>
      <c r="D60" s="144">
        <f>'Staff Calcs '!L187</f>
        <v>0</v>
      </c>
      <c r="E60" s="145">
        <f t="shared" ref="E60:E62" si="4">ROUND(C60+D60,2)</f>
        <v>3.53</v>
      </c>
      <c r="F60" s="139"/>
    </row>
    <row r="61" spans="1:6">
      <c r="A61" s="139" t="s">
        <v>471</v>
      </c>
      <c r="B61" s="139" t="s">
        <v>475</v>
      </c>
      <c r="C61" s="144">
        <v>8.08</v>
      </c>
      <c r="D61" s="144">
        <f>D56/References!B7</f>
        <v>0</v>
      </c>
      <c r="E61" s="145">
        <f t="shared" si="4"/>
        <v>8.08</v>
      </c>
      <c r="F61" s="139"/>
    </row>
    <row r="62" spans="1:6">
      <c r="A62" s="139" t="s">
        <v>472</v>
      </c>
      <c r="B62" s="139" t="s">
        <v>475</v>
      </c>
      <c r="C62" s="144">
        <v>10.54</v>
      </c>
      <c r="D62" s="144">
        <f>D57/References!B7</f>
        <v>0</v>
      </c>
      <c r="E62" s="145">
        <f t="shared" si="4"/>
        <v>10.54</v>
      </c>
      <c r="F62" s="139"/>
    </row>
    <row r="63" spans="1:6">
      <c r="B63" s="150"/>
      <c r="C63" s="350"/>
      <c r="D63" s="175"/>
    </row>
    <row r="64" spans="1:6">
      <c r="A64" s="140" t="s">
        <v>655</v>
      </c>
      <c r="B64" s="139"/>
      <c r="C64" s="144"/>
      <c r="D64" s="143"/>
      <c r="E64" s="139"/>
      <c r="F64" s="139"/>
    </row>
    <row r="65" spans="1:6">
      <c r="A65" s="139" t="s">
        <v>443</v>
      </c>
      <c r="B65" s="139" t="s">
        <v>478</v>
      </c>
      <c r="C65" s="144">
        <v>27.15</v>
      </c>
      <c r="D65" s="144">
        <f>'Staff Calcs '!L195</f>
        <v>0</v>
      </c>
      <c r="E65" s="145">
        <f t="shared" ref="E65:E78" si="5">ROUND(C65+D65,2)</f>
        <v>27.15</v>
      </c>
      <c r="F65" s="139"/>
    </row>
    <row r="66" spans="1:6">
      <c r="A66" s="139"/>
      <c r="B66" s="139" t="s">
        <v>479</v>
      </c>
      <c r="C66" s="144">
        <v>14.01</v>
      </c>
      <c r="D66" s="144">
        <f>D65</f>
        <v>0</v>
      </c>
      <c r="E66" s="145">
        <f t="shared" si="5"/>
        <v>14.01</v>
      </c>
      <c r="F66" s="139"/>
    </row>
    <row r="67" spans="1:6">
      <c r="A67" s="139" t="s">
        <v>444</v>
      </c>
      <c r="B67" s="139" t="s">
        <v>478</v>
      </c>
      <c r="C67" s="144">
        <v>37.14</v>
      </c>
      <c r="D67" s="144">
        <f>'Staff Calcs '!L196</f>
        <v>0</v>
      </c>
      <c r="E67" s="145">
        <f t="shared" si="5"/>
        <v>37.14</v>
      </c>
      <c r="F67" s="139"/>
    </row>
    <row r="68" spans="1:6">
      <c r="A68" s="139"/>
      <c r="B68" s="139" t="s">
        <v>479</v>
      </c>
      <c r="C68" s="144">
        <v>19.190000000000001</v>
      </c>
      <c r="D68" s="144">
        <f>D67</f>
        <v>0</v>
      </c>
      <c r="E68" s="145">
        <f t="shared" si="5"/>
        <v>19.190000000000001</v>
      </c>
      <c r="F68" s="139"/>
    </row>
    <row r="69" spans="1:6">
      <c r="A69" s="139" t="s">
        <v>445</v>
      </c>
      <c r="B69" s="139" t="s">
        <v>478</v>
      </c>
      <c r="C69" s="144">
        <v>44.38</v>
      </c>
      <c r="D69" s="144">
        <f>'Staff Calcs '!L197</f>
        <v>0</v>
      </c>
      <c r="E69" s="145">
        <f t="shared" si="5"/>
        <v>44.38</v>
      </c>
      <c r="F69" s="139"/>
    </row>
    <row r="70" spans="1:6">
      <c r="A70" s="139"/>
      <c r="B70" s="139" t="s">
        <v>479</v>
      </c>
      <c r="C70" s="144">
        <v>25.37</v>
      </c>
      <c r="D70" s="144">
        <f>D69</f>
        <v>0</v>
      </c>
      <c r="E70" s="145">
        <f t="shared" si="5"/>
        <v>25.37</v>
      </c>
      <c r="F70" s="139"/>
    </row>
    <row r="71" spans="1:6">
      <c r="A71" s="139" t="s">
        <v>480</v>
      </c>
      <c r="B71" s="139" t="s">
        <v>478</v>
      </c>
      <c r="C71" s="144">
        <v>58.97</v>
      </c>
      <c r="D71" s="144">
        <f>'Staff Calcs '!L198</f>
        <v>0</v>
      </c>
      <c r="E71" s="145">
        <f t="shared" si="5"/>
        <v>58.97</v>
      </c>
      <c r="F71" s="139"/>
    </row>
    <row r="72" spans="1:6">
      <c r="A72" s="139"/>
      <c r="B72" s="139" t="s">
        <v>479</v>
      </c>
      <c r="C72" s="144">
        <v>35.22</v>
      </c>
      <c r="D72" s="144">
        <f>D71</f>
        <v>0</v>
      </c>
      <c r="E72" s="145">
        <f t="shared" si="5"/>
        <v>35.22</v>
      </c>
      <c r="F72" s="139"/>
    </row>
    <row r="73" spans="1:6">
      <c r="A73" s="139" t="s">
        <v>446</v>
      </c>
      <c r="B73" s="139" t="s">
        <v>478</v>
      </c>
      <c r="C73" s="144">
        <v>73.650000000000006</v>
      </c>
      <c r="D73" s="144">
        <f>'Staff Calcs '!L199</f>
        <v>0</v>
      </c>
      <c r="E73" s="145">
        <f t="shared" si="5"/>
        <v>73.650000000000006</v>
      </c>
      <c r="F73" s="139"/>
    </row>
    <row r="74" spans="1:6">
      <c r="A74" s="139"/>
      <c r="B74" s="139" t="s">
        <v>479</v>
      </c>
      <c r="C74" s="144">
        <v>48.31</v>
      </c>
      <c r="D74" s="144">
        <f>D73</f>
        <v>0</v>
      </c>
      <c r="E74" s="145">
        <f t="shared" si="5"/>
        <v>48.31</v>
      </c>
      <c r="F74" s="139"/>
    </row>
    <row r="75" spans="1:6">
      <c r="A75" s="139" t="s">
        <v>447</v>
      </c>
      <c r="B75" s="139" t="s">
        <v>478</v>
      </c>
      <c r="C75" s="144">
        <v>97.07</v>
      </c>
      <c r="D75" s="144">
        <f>'Staff Calcs '!L200</f>
        <v>0</v>
      </c>
      <c r="E75" s="145">
        <f t="shared" si="5"/>
        <v>97.07</v>
      </c>
      <c r="F75" s="139"/>
    </row>
    <row r="76" spans="1:6">
      <c r="A76" s="139"/>
      <c r="B76" s="139" t="s">
        <v>479</v>
      </c>
      <c r="C76" s="144">
        <v>65.39</v>
      </c>
      <c r="D76" s="144">
        <f>D75</f>
        <v>0</v>
      </c>
      <c r="E76" s="145">
        <f t="shared" si="5"/>
        <v>65.39</v>
      </c>
      <c r="F76" s="139"/>
    </row>
    <row r="77" spans="1:6">
      <c r="A77" s="139" t="s">
        <v>481</v>
      </c>
      <c r="B77" s="139" t="s">
        <v>478</v>
      </c>
      <c r="C77" s="144">
        <v>126.41</v>
      </c>
      <c r="D77" s="144">
        <f>'Staff Calcs '!L201</f>
        <v>0</v>
      </c>
      <c r="E77" s="145">
        <f t="shared" si="5"/>
        <v>126.41</v>
      </c>
      <c r="F77" s="139"/>
    </row>
    <row r="78" spans="1:6">
      <c r="A78" s="139"/>
      <c r="B78" s="139" t="s">
        <v>479</v>
      </c>
      <c r="C78" s="144">
        <v>88.39</v>
      </c>
      <c r="D78" s="144">
        <f>D77</f>
        <v>0</v>
      </c>
      <c r="E78" s="145">
        <f t="shared" si="5"/>
        <v>88.39</v>
      </c>
      <c r="F78" s="139"/>
    </row>
    <row r="79" spans="1:6">
      <c r="B79" s="150"/>
      <c r="C79" s="350"/>
      <c r="D79" s="175"/>
    </row>
    <row r="80" spans="1:6">
      <c r="A80" s="139" t="s">
        <v>482</v>
      </c>
      <c r="B80" s="139"/>
      <c r="C80" s="144"/>
      <c r="D80" s="143"/>
      <c r="E80" s="139"/>
      <c r="F80" s="139"/>
    </row>
    <row r="81" spans="1:6">
      <c r="A81" s="139" t="s">
        <v>443</v>
      </c>
      <c r="B81" s="139" t="s">
        <v>475</v>
      </c>
      <c r="C81" s="144">
        <v>34.01</v>
      </c>
      <c r="D81" s="144">
        <f>D65</f>
        <v>0</v>
      </c>
      <c r="E81" s="145">
        <f t="shared" ref="E81:E87" si="6">ROUND(C81+D81,2)</f>
        <v>34.01</v>
      </c>
      <c r="F81" s="139"/>
    </row>
    <row r="82" spans="1:6">
      <c r="A82" s="139" t="s">
        <v>444</v>
      </c>
      <c r="B82" s="139" t="s">
        <v>475</v>
      </c>
      <c r="C82" s="144">
        <v>39.19</v>
      </c>
      <c r="D82" s="144">
        <f>D67</f>
        <v>0</v>
      </c>
      <c r="E82" s="145">
        <f t="shared" si="6"/>
        <v>39.19</v>
      </c>
      <c r="F82" s="139"/>
    </row>
    <row r="83" spans="1:6">
      <c r="A83" s="139" t="s">
        <v>445</v>
      </c>
      <c r="B83" s="139" t="s">
        <v>475</v>
      </c>
      <c r="C83" s="144">
        <v>45.37</v>
      </c>
      <c r="D83" s="144">
        <f>D69</f>
        <v>0</v>
      </c>
      <c r="E83" s="145">
        <f t="shared" si="6"/>
        <v>45.37</v>
      </c>
    </row>
    <row r="84" spans="1:6">
      <c r="A84" s="139" t="s">
        <v>480</v>
      </c>
      <c r="B84" s="139" t="s">
        <v>475</v>
      </c>
      <c r="C84" s="144">
        <v>55.22</v>
      </c>
      <c r="D84" s="144">
        <f>D71</f>
        <v>0</v>
      </c>
      <c r="E84" s="145">
        <f t="shared" si="6"/>
        <v>55.22</v>
      </c>
    </row>
    <row r="85" spans="1:6">
      <c r="A85" s="139" t="s">
        <v>446</v>
      </c>
      <c r="B85" s="139" t="s">
        <v>475</v>
      </c>
      <c r="C85" s="144">
        <v>68.31</v>
      </c>
      <c r="D85" s="144">
        <f>D73</f>
        <v>0</v>
      </c>
      <c r="E85" s="145">
        <f t="shared" si="6"/>
        <v>68.31</v>
      </c>
    </row>
    <row r="86" spans="1:6">
      <c r="A86" s="139" t="s">
        <v>447</v>
      </c>
      <c r="B86" s="139" t="s">
        <v>475</v>
      </c>
      <c r="C86" s="144">
        <v>85.39</v>
      </c>
      <c r="D86" s="144">
        <f>D75</f>
        <v>0</v>
      </c>
      <c r="E86" s="145">
        <f t="shared" si="6"/>
        <v>85.39</v>
      </c>
    </row>
    <row r="87" spans="1:6">
      <c r="A87" s="139" t="s">
        <v>481</v>
      </c>
      <c r="B87" s="139" t="s">
        <v>475</v>
      </c>
      <c r="C87" s="144">
        <v>108.39</v>
      </c>
      <c r="D87" s="144">
        <f>D77</f>
        <v>0</v>
      </c>
      <c r="E87" s="145">
        <f t="shared" si="6"/>
        <v>108.39</v>
      </c>
    </row>
    <row r="88" spans="1:6">
      <c r="A88" s="139"/>
      <c r="B88" s="139"/>
      <c r="C88" s="144"/>
      <c r="D88" s="144"/>
      <c r="E88" s="146"/>
    </row>
    <row r="89" spans="1:6">
      <c r="A89" s="139" t="s">
        <v>483</v>
      </c>
      <c r="B89" s="139"/>
      <c r="C89" s="144"/>
      <c r="D89" s="143"/>
      <c r="E89" s="139"/>
    </row>
    <row r="90" spans="1:6">
      <c r="A90" s="139" t="s">
        <v>443</v>
      </c>
      <c r="B90" s="139" t="s">
        <v>475</v>
      </c>
      <c r="C90" s="144">
        <v>19.010000000000002</v>
      </c>
      <c r="D90" s="144">
        <f>D81</f>
        <v>0</v>
      </c>
      <c r="E90" s="145">
        <f t="shared" ref="E90:E96" si="7">ROUND(C90+D90,2)</f>
        <v>19.010000000000002</v>
      </c>
    </row>
    <row r="91" spans="1:6">
      <c r="A91" s="139" t="s">
        <v>444</v>
      </c>
      <c r="B91" s="139" t="s">
        <v>475</v>
      </c>
      <c r="C91" s="144">
        <v>24.19</v>
      </c>
      <c r="D91" s="144">
        <f t="shared" ref="D91:D96" si="8">D82</f>
        <v>0</v>
      </c>
      <c r="E91" s="145">
        <f t="shared" si="7"/>
        <v>24.19</v>
      </c>
    </row>
    <row r="92" spans="1:6">
      <c r="A92" s="139" t="s">
        <v>445</v>
      </c>
      <c r="B92" s="139" t="s">
        <v>475</v>
      </c>
      <c r="C92" s="144">
        <v>30.37</v>
      </c>
      <c r="D92" s="144">
        <f t="shared" si="8"/>
        <v>0</v>
      </c>
      <c r="E92" s="145">
        <f t="shared" si="7"/>
        <v>30.37</v>
      </c>
    </row>
    <row r="93" spans="1:6">
      <c r="A93" s="139" t="s">
        <v>480</v>
      </c>
      <c r="B93" s="139" t="s">
        <v>475</v>
      </c>
      <c r="C93" s="144">
        <v>40.22</v>
      </c>
      <c r="D93" s="144">
        <f t="shared" si="8"/>
        <v>0</v>
      </c>
      <c r="E93" s="145">
        <f t="shared" si="7"/>
        <v>40.22</v>
      </c>
    </row>
    <row r="94" spans="1:6">
      <c r="A94" s="139" t="s">
        <v>446</v>
      </c>
      <c r="B94" s="139" t="s">
        <v>475</v>
      </c>
      <c r="C94" s="144">
        <v>53.31</v>
      </c>
      <c r="D94" s="144">
        <f t="shared" si="8"/>
        <v>0</v>
      </c>
      <c r="E94" s="145">
        <f t="shared" si="7"/>
        <v>53.31</v>
      </c>
    </row>
    <row r="95" spans="1:6">
      <c r="A95" s="139" t="s">
        <v>447</v>
      </c>
      <c r="B95" s="139" t="s">
        <v>475</v>
      </c>
      <c r="C95" s="144">
        <v>70.39</v>
      </c>
      <c r="D95" s="144">
        <f t="shared" si="8"/>
        <v>0</v>
      </c>
      <c r="E95" s="145">
        <f t="shared" si="7"/>
        <v>70.39</v>
      </c>
    </row>
    <row r="96" spans="1:6">
      <c r="A96" s="139" t="s">
        <v>481</v>
      </c>
      <c r="B96" s="139" t="s">
        <v>475</v>
      </c>
      <c r="C96" s="144">
        <v>93.39</v>
      </c>
      <c r="D96" s="144">
        <f t="shared" si="8"/>
        <v>0</v>
      </c>
      <c r="E96" s="145">
        <f t="shared" si="7"/>
        <v>93.39</v>
      </c>
    </row>
    <row r="97" spans="1:5">
      <c r="A97" s="139"/>
      <c r="B97" s="139"/>
      <c r="C97" s="144"/>
      <c r="D97" s="145"/>
      <c r="E97" s="146"/>
    </row>
    <row r="98" spans="1:5">
      <c r="A98" s="140" t="s">
        <v>484</v>
      </c>
      <c r="B98" s="139"/>
      <c r="C98" s="144"/>
      <c r="D98" s="139"/>
      <c r="E98" s="139"/>
    </row>
    <row r="99" spans="1:5">
      <c r="A99" s="139" t="s">
        <v>485</v>
      </c>
      <c r="B99" s="139" t="s">
        <v>475</v>
      </c>
      <c r="C99" s="144">
        <v>31.02</v>
      </c>
      <c r="D99" s="145">
        <f>ROUND('Staff Calcs '!L128,2)</f>
        <v>0.05</v>
      </c>
      <c r="E99" s="145">
        <f t="shared" ref="E99:E104" si="9">ROUND(C99+D99,2)</f>
        <v>31.07</v>
      </c>
    </row>
    <row r="100" spans="1:5">
      <c r="A100" s="139" t="s">
        <v>486</v>
      </c>
      <c r="B100" s="139" t="s">
        <v>475</v>
      </c>
      <c r="C100" s="144">
        <v>31.02</v>
      </c>
      <c r="D100" s="145">
        <f>D99</f>
        <v>0.05</v>
      </c>
      <c r="E100" s="145">
        <f t="shared" si="9"/>
        <v>31.07</v>
      </c>
    </row>
    <row r="101" spans="1:5">
      <c r="A101" s="139" t="s">
        <v>487</v>
      </c>
      <c r="B101" s="139"/>
      <c r="C101" s="144">
        <v>31.02</v>
      </c>
      <c r="D101" s="145">
        <f t="shared" ref="D101:D104" si="10">D100</f>
        <v>0.05</v>
      </c>
      <c r="E101" s="145">
        <f t="shared" si="9"/>
        <v>31.07</v>
      </c>
    </row>
    <row r="102" spans="1:5">
      <c r="A102" s="139" t="s">
        <v>487</v>
      </c>
      <c r="B102" s="139"/>
      <c r="C102" s="144">
        <v>31.02</v>
      </c>
      <c r="D102" s="145">
        <f t="shared" si="10"/>
        <v>0.05</v>
      </c>
      <c r="E102" s="145">
        <f t="shared" si="9"/>
        <v>31.07</v>
      </c>
    </row>
    <row r="103" spans="1:5">
      <c r="A103" s="139" t="s">
        <v>488</v>
      </c>
      <c r="B103" s="139"/>
      <c r="C103" s="144">
        <v>31.02</v>
      </c>
      <c r="D103" s="145">
        <f t="shared" si="10"/>
        <v>0.05</v>
      </c>
      <c r="E103" s="145">
        <f t="shared" si="9"/>
        <v>31.07</v>
      </c>
    </row>
    <row r="104" spans="1:5">
      <c r="A104" s="139" t="s">
        <v>488</v>
      </c>
      <c r="B104" s="139"/>
      <c r="C104" s="144">
        <v>31.02</v>
      </c>
      <c r="D104" s="145">
        <f t="shared" si="10"/>
        <v>0.05</v>
      </c>
      <c r="E104" s="145">
        <f t="shared" si="9"/>
        <v>31.07</v>
      </c>
    </row>
    <row r="105" spans="1:5">
      <c r="B105" s="150"/>
      <c r="C105" s="350"/>
    </row>
    <row r="106" spans="1:5">
      <c r="A106" s="140" t="s">
        <v>489</v>
      </c>
      <c r="B106" s="139"/>
      <c r="C106" s="144"/>
      <c r="D106" s="139"/>
      <c r="E106" s="139"/>
    </row>
    <row r="107" spans="1:5">
      <c r="A107" s="139" t="s">
        <v>490</v>
      </c>
      <c r="B107" s="139" t="s">
        <v>491</v>
      </c>
      <c r="C107" s="144">
        <v>0.19</v>
      </c>
      <c r="D107" s="145">
        <f>ROUND(References!C51/References!G54,2)</f>
        <v>0</v>
      </c>
      <c r="E107" s="145">
        <f>ROUND(C107+D107,2)</f>
        <v>0.19</v>
      </c>
    </row>
    <row r="108" spans="1:5">
      <c r="B108" s="150"/>
      <c r="C108" s="350"/>
    </row>
    <row r="109" spans="1:5">
      <c r="A109" s="140" t="s">
        <v>492</v>
      </c>
      <c r="B109" s="139"/>
      <c r="C109" s="144"/>
      <c r="D109" s="139"/>
      <c r="E109" s="139"/>
    </row>
    <row r="110" spans="1:5">
      <c r="A110" s="139" t="s">
        <v>490</v>
      </c>
      <c r="B110" s="139" t="s">
        <v>493</v>
      </c>
      <c r="C110" s="144">
        <v>144.97</v>
      </c>
      <c r="D110" s="146">
        <f>References!B51</f>
        <v>0.87000000000000455</v>
      </c>
      <c r="E110" s="145">
        <f t="shared" ref="E110:E111" si="11">ROUND(C110+D110,2)</f>
        <v>145.84</v>
      </c>
    </row>
    <row r="111" spans="1:5">
      <c r="A111" s="139" t="s">
        <v>494</v>
      </c>
      <c r="B111" s="139" t="s">
        <v>493</v>
      </c>
      <c r="C111" s="144">
        <v>102.13</v>
      </c>
      <c r="D111" s="146">
        <f>References!D51</f>
        <v>0</v>
      </c>
      <c r="E111" s="145">
        <f t="shared" si="11"/>
        <v>102.13</v>
      </c>
    </row>
    <row r="112" spans="1:5">
      <c r="B112" s="150"/>
      <c r="C112" s="350"/>
    </row>
    <row r="113" spans="1:6">
      <c r="A113" s="140" t="s">
        <v>495</v>
      </c>
      <c r="B113" s="139"/>
      <c r="C113" s="144"/>
      <c r="D113" s="139"/>
      <c r="E113" s="139"/>
    </row>
    <row r="114" spans="1:6">
      <c r="A114" s="139" t="s">
        <v>443</v>
      </c>
      <c r="B114" s="139" t="s">
        <v>478</v>
      </c>
      <c r="C114" s="144">
        <v>30.31</v>
      </c>
      <c r="D114" s="145">
        <f>ROUND('Staff Calcs '!L66,2)</f>
        <v>0.06</v>
      </c>
      <c r="E114" s="145">
        <f t="shared" ref="E114:E125" si="12">ROUND(C114+D114,2)</f>
        <v>30.37</v>
      </c>
    </row>
    <row r="115" spans="1:6">
      <c r="A115" s="139"/>
      <c r="B115" s="139" t="s">
        <v>479</v>
      </c>
      <c r="C115" s="144">
        <v>17.170000000000002</v>
      </c>
      <c r="D115" s="145">
        <f>D114</f>
        <v>0.06</v>
      </c>
      <c r="E115" s="145">
        <f t="shared" si="12"/>
        <v>17.23</v>
      </c>
      <c r="F115" s="139"/>
    </row>
    <row r="116" spans="1:6">
      <c r="A116" s="139" t="s">
        <v>444</v>
      </c>
      <c r="B116" s="139" t="s">
        <v>478</v>
      </c>
      <c r="C116" s="144">
        <v>41.39</v>
      </c>
      <c r="D116" s="145">
        <f>ROUND('Staff Calcs '!L69,2)</f>
        <v>0.09</v>
      </c>
      <c r="E116" s="145">
        <f t="shared" si="12"/>
        <v>41.48</v>
      </c>
      <c r="F116" s="145"/>
    </row>
    <row r="117" spans="1:6">
      <c r="A117" s="139"/>
      <c r="B117" s="139" t="s">
        <v>479</v>
      </c>
      <c r="C117" s="144">
        <v>23.44</v>
      </c>
      <c r="D117" s="145">
        <f>D116</f>
        <v>0.09</v>
      </c>
      <c r="E117" s="145">
        <f t="shared" si="12"/>
        <v>23.53</v>
      </c>
      <c r="F117" s="139"/>
    </row>
    <row r="118" spans="1:6">
      <c r="A118" s="139" t="s">
        <v>445</v>
      </c>
      <c r="B118" s="139" t="s">
        <v>478</v>
      </c>
      <c r="C118" s="144">
        <v>49.91</v>
      </c>
      <c r="D118" s="145">
        <f>ROUND('Staff Calcs '!L72,2)</f>
        <v>0.12</v>
      </c>
      <c r="E118" s="145">
        <f t="shared" si="12"/>
        <v>50.03</v>
      </c>
      <c r="F118" s="139"/>
    </row>
    <row r="119" spans="1:6">
      <c r="A119" s="139"/>
      <c r="B119" s="139" t="s">
        <v>479</v>
      </c>
      <c r="C119" s="144">
        <v>30.9</v>
      </c>
      <c r="D119" s="145">
        <f>D118</f>
        <v>0.12</v>
      </c>
      <c r="E119" s="145">
        <f t="shared" si="12"/>
        <v>31.02</v>
      </c>
      <c r="F119" s="139"/>
    </row>
    <row r="120" spans="1:6">
      <c r="A120" s="139" t="s">
        <v>480</v>
      </c>
      <c r="B120" s="139" t="s">
        <v>478</v>
      </c>
      <c r="C120" s="144">
        <v>67.430000000000007</v>
      </c>
      <c r="D120" s="146">
        <f>ROUND('Staff Calcs '!L75,2)</f>
        <v>0.17</v>
      </c>
      <c r="E120" s="145">
        <f t="shared" si="12"/>
        <v>67.599999999999994</v>
      </c>
      <c r="F120" s="139"/>
    </row>
    <row r="121" spans="1:6">
      <c r="A121" s="139"/>
      <c r="B121" s="139" t="s">
        <v>479</v>
      </c>
      <c r="C121" s="144">
        <v>43.68</v>
      </c>
      <c r="D121" s="146">
        <f>D120</f>
        <v>0.17</v>
      </c>
      <c r="E121" s="145">
        <f t="shared" si="12"/>
        <v>43.85</v>
      </c>
      <c r="F121" s="139"/>
    </row>
    <row r="122" spans="1:6">
      <c r="A122" s="139" t="s">
        <v>446</v>
      </c>
      <c r="B122" s="139" t="s">
        <v>478</v>
      </c>
      <c r="C122" s="144">
        <v>84.25</v>
      </c>
      <c r="D122" s="146">
        <f>ROUND('Staff Calcs '!L79,2)</f>
        <v>0.22</v>
      </c>
      <c r="E122" s="145">
        <f t="shared" si="12"/>
        <v>84.47</v>
      </c>
      <c r="F122" s="139"/>
    </row>
    <row r="123" spans="1:6">
      <c r="A123" s="139"/>
      <c r="B123" s="139" t="s">
        <v>479</v>
      </c>
      <c r="C123" s="144">
        <v>58.91</v>
      </c>
      <c r="D123" s="146">
        <f>D122</f>
        <v>0.22</v>
      </c>
      <c r="E123" s="145">
        <f t="shared" si="12"/>
        <v>59.13</v>
      </c>
      <c r="F123" s="139"/>
    </row>
    <row r="124" spans="1:6">
      <c r="A124" s="139" t="s">
        <v>447</v>
      </c>
      <c r="B124" s="139" t="s">
        <v>478</v>
      </c>
      <c r="C124" s="144">
        <v>113.03</v>
      </c>
      <c r="D124" s="146">
        <f>ROUND('Staff Calcs '!L82,2)</f>
        <v>0.31</v>
      </c>
      <c r="E124" s="145">
        <f t="shared" si="12"/>
        <v>113.34</v>
      </c>
      <c r="F124" s="139"/>
    </row>
    <row r="125" spans="1:6">
      <c r="A125" s="139"/>
      <c r="B125" s="139" t="s">
        <v>479</v>
      </c>
      <c r="C125" s="144">
        <v>81.349999999999994</v>
      </c>
      <c r="D125" s="146">
        <f>D124</f>
        <v>0.31</v>
      </c>
      <c r="E125" s="145">
        <f t="shared" si="12"/>
        <v>81.66</v>
      </c>
      <c r="F125" s="139"/>
    </row>
    <row r="126" spans="1:6">
      <c r="B126" s="150"/>
      <c r="C126" s="350"/>
    </row>
    <row r="127" spans="1:6">
      <c r="A127" s="139" t="s">
        <v>482</v>
      </c>
      <c r="B127" s="139"/>
      <c r="C127" s="144"/>
      <c r="D127" s="139"/>
      <c r="E127" s="139"/>
      <c r="F127" s="139"/>
    </row>
    <row r="128" spans="1:6">
      <c r="A128" s="139" t="s">
        <v>443</v>
      </c>
      <c r="B128" s="139" t="s">
        <v>475</v>
      </c>
      <c r="C128" s="144">
        <v>62.41</v>
      </c>
      <c r="D128" s="145">
        <f>D114</f>
        <v>0.06</v>
      </c>
      <c r="E128" s="145">
        <f t="shared" ref="E128:E133" si="13">ROUND(C128+D128,2)</f>
        <v>62.47</v>
      </c>
      <c r="F128" s="139"/>
    </row>
    <row r="129" spans="1:6">
      <c r="A129" s="139" t="s">
        <v>444</v>
      </c>
      <c r="B129" s="139" t="s">
        <v>475</v>
      </c>
      <c r="C129" s="144">
        <v>69.06</v>
      </c>
      <c r="D129" s="145">
        <f>D116</f>
        <v>0.09</v>
      </c>
      <c r="E129" s="145">
        <f t="shared" si="13"/>
        <v>69.150000000000006</v>
      </c>
      <c r="F129" s="139"/>
    </row>
    <row r="130" spans="1:6">
      <c r="A130" s="139" t="s">
        <v>445</v>
      </c>
      <c r="B130" s="139" t="s">
        <v>475</v>
      </c>
      <c r="C130" s="144">
        <v>76.77</v>
      </c>
      <c r="D130" s="145">
        <f>D118</f>
        <v>0.12</v>
      </c>
      <c r="E130" s="145">
        <f t="shared" si="13"/>
        <v>76.89</v>
      </c>
      <c r="F130" s="139"/>
    </row>
    <row r="131" spans="1:6">
      <c r="A131" s="139" t="s">
        <v>480</v>
      </c>
      <c r="B131" s="139" t="s">
        <v>475</v>
      </c>
      <c r="C131" s="144">
        <v>88.04</v>
      </c>
      <c r="D131" s="145">
        <f>D120</f>
        <v>0.17</v>
      </c>
      <c r="E131" s="145">
        <f t="shared" si="13"/>
        <v>88.21</v>
      </c>
      <c r="F131" s="139"/>
    </row>
    <row r="132" spans="1:6">
      <c r="A132" s="139" t="s">
        <v>446</v>
      </c>
      <c r="B132" s="139" t="s">
        <v>475</v>
      </c>
      <c r="C132" s="144">
        <v>101.15</v>
      </c>
      <c r="D132" s="145">
        <f>D122</f>
        <v>0.22</v>
      </c>
      <c r="E132" s="145">
        <f t="shared" si="13"/>
        <v>101.37</v>
      </c>
      <c r="F132" s="139"/>
    </row>
    <row r="133" spans="1:6">
      <c r="A133" s="139" t="s">
        <v>447</v>
      </c>
      <c r="B133" s="139" t="s">
        <v>475</v>
      </c>
      <c r="C133" s="144">
        <v>119.37</v>
      </c>
      <c r="D133" s="145">
        <f>D124</f>
        <v>0.31</v>
      </c>
      <c r="E133" s="145">
        <f t="shared" si="13"/>
        <v>119.68</v>
      </c>
      <c r="F133" s="139"/>
    </row>
    <row r="134" spans="1:6">
      <c r="B134" s="150"/>
      <c r="C134" s="350"/>
    </row>
    <row r="135" spans="1:6">
      <c r="A135" s="139" t="s">
        <v>483</v>
      </c>
      <c r="B135" s="139"/>
      <c r="C135" s="144"/>
      <c r="D135" s="139"/>
      <c r="E135" s="139"/>
      <c r="F135" s="139"/>
    </row>
    <row r="136" spans="1:6">
      <c r="A136" s="139" t="s">
        <v>443</v>
      </c>
      <c r="B136" s="139" t="s">
        <v>475</v>
      </c>
      <c r="C136" s="144">
        <v>21.96</v>
      </c>
      <c r="D136" s="145">
        <f>D128</f>
        <v>0.06</v>
      </c>
      <c r="E136" s="145">
        <f t="shared" ref="E136:E141" si="14">ROUND(C136+D136,2)</f>
        <v>22.02</v>
      </c>
      <c r="F136" s="139"/>
    </row>
    <row r="137" spans="1:6">
      <c r="A137" s="139" t="s">
        <v>444</v>
      </c>
      <c r="B137" s="139" t="s">
        <v>475</v>
      </c>
      <c r="C137" s="144">
        <v>29.17</v>
      </c>
      <c r="D137" s="145">
        <f t="shared" ref="D137:D141" si="15">D129</f>
        <v>0.09</v>
      </c>
      <c r="E137" s="145">
        <f t="shared" si="14"/>
        <v>29.26</v>
      </c>
      <c r="F137" s="139"/>
    </row>
    <row r="138" spans="1:6">
      <c r="A138" s="139" t="s">
        <v>445</v>
      </c>
      <c r="B138" s="139" t="s">
        <v>475</v>
      </c>
      <c r="C138" s="144">
        <v>35.409999999999997</v>
      </c>
      <c r="D138" s="145">
        <f t="shared" si="15"/>
        <v>0.12</v>
      </c>
      <c r="E138" s="145">
        <f t="shared" si="14"/>
        <v>35.53</v>
      </c>
      <c r="F138" s="139"/>
    </row>
    <row r="139" spans="1:6">
      <c r="A139" s="139" t="s">
        <v>480</v>
      </c>
      <c r="B139" s="139" t="s">
        <v>475</v>
      </c>
      <c r="C139" s="144">
        <v>49.58</v>
      </c>
      <c r="D139" s="145">
        <f t="shared" si="15"/>
        <v>0.17</v>
      </c>
      <c r="E139" s="145">
        <f t="shared" si="14"/>
        <v>49.75</v>
      </c>
      <c r="F139" s="139"/>
    </row>
    <row r="140" spans="1:6">
      <c r="A140" s="139" t="s">
        <v>446</v>
      </c>
      <c r="B140" s="139" t="s">
        <v>475</v>
      </c>
      <c r="C140" s="144">
        <v>63.88</v>
      </c>
      <c r="D140" s="145">
        <f t="shared" si="15"/>
        <v>0.22</v>
      </c>
      <c r="E140" s="145">
        <f t="shared" si="14"/>
        <v>64.099999999999994</v>
      </c>
      <c r="F140" s="139"/>
    </row>
    <row r="141" spans="1:6">
      <c r="A141" s="139" t="s">
        <v>447</v>
      </c>
      <c r="B141" s="139" t="s">
        <v>475</v>
      </c>
      <c r="C141" s="144">
        <v>89.06</v>
      </c>
      <c r="D141" s="145">
        <f t="shared" si="15"/>
        <v>0.31</v>
      </c>
      <c r="E141" s="145">
        <f t="shared" si="14"/>
        <v>89.37</v>
      </c>
      <c r="F141" s="139"/>
    </row>
    <row r="142" spans="1:6">
      <c r="B142" s="150"/>
      <c r="C142" s="350"/>
    </row>
    <row r="143" spans="1:6">
      <c r="A143" s="140" t="s">
        <v>496</v>
      </c>
      <c r="B143" s="139"/>
      <c r="C143" s="144"/>
      <c r="D143" s="139"/>
      <c r="E143" s="139"/>
      <c r="F143" s="139"/>
    </row>
    <row r="144" spans="1:6">
      <c r="A144" s="139" t="s">
        <v>497</v>
      </c>
      <c r="B144" s="139" t="s">
        <v>475</v>
      </c>
      <c r="C144" s="144">
        <v>3.11</v>
      </c>
      <c r="D144" s="144">
        <f>ROUND('Staff Calcs '!L105/References!B7,2)</f>
        <v>0.01</v>
      </c>
      <c r="E144" s="145">
        <f t="shared" ref="E144:E147" si="16">ROUND(C144+D144,2)</f>
        <v>3.12</v>
      </c>
      <c r="F144" s="146"/>
    </row>
    <row r="145" spans="1:6">
      <c r="A145" s="139" t="s">
        <v>498</v>
      </c>
      <c r="B145" s="139" t="s">
        <v>475</v>
      </c>
      <c r="C145" s="144">
        <v>2.95</v>
      </c>
      <c r="D145" s="144">
        <f>D144</f>
        <v>0.01</v>
      </c>
      <c r="E145" s="145">
        <f t="shared" si="16"/>
        <v>2.96</v>
      </c>
      <c r="F145" s="146"/>
    </row>
    <row r="146" spans="1:6">
      <c r="A146" s="139" t="s">
        <v>499</v>
      </c>
      <c r="B146" s="139" t="s">
        <v>475</v>
      </c>
      <c r="C146" s="144">
        <v>3.11</v>
      </c>
      <c r="D146" s="144">
        <f>D144</f>
        <v>0.01</v>
      </c>
      <c r="E146" s="145">
        <f t="shared" si="16"/>
        <v>3.12</v>
      </c>
      <c r="F146" s="146"/>
    </row>
    <row r="147" spans="1:6">
      <c r="A147" s="139" t="s">
        <v>500</v>
      </c>
      <c r="B147" s="139"/>
      <c r="C147" s="144">
        <v>16.78</v>
      </c>
      <c r="D147" s="145">
        <f>ROUND('Staff Calcs '!L105,2)</f>
        <v>0.05</v>
      </c>
      <c r="E147" s="145">
        <f t="shared" si="16"/>
        <v>16.829999999999998</v>
      </c>
      <c r="F147" s="139"/>
    </row>
    <row r="148" spans="1:6">
      <c r="A148" s="139"/>
      <c r="B148" s="139"/>
      <c r="C148" s="144"/>
      <c r="D148" s="145"/>
      <c r="E148" s="146"/>
      <c r="F148" s="139"/>
    </row>
    <row r="149" spans="1:6">
      <c r="A149" s="139" t="s">
        <v>482</v>
      </c>
      <c r="B149" s="139"/>
      <c r="C149" s="144"/>
      <c r="D149" s="145"/>
      <c r="E149" s="146"/>
      <c r="F149" s="139"/>
    </row>
    <row r="150" spans="1:6">
      <c r="A150" s="139" t="s">
        <v>501</v>
      </c>
      <c r="B150" s="139" t="s">
        <v>502</v>
      </c>
      <c r="C150" s="144">
        <v>12.1</v>
      </c>
      <c r="D150" s="145">
        <f>D144</f>
        <v>0.01</v>
      </c>
      <c r="E150" s="145">
        <f t="shared" ref="E150:E151" si="17">ROUND(C150+D150,2)</f>
        <v>12.11</v>
      </c>
      <c r="F150" s="139"/>
    </row>
    <row r="151" spans="1:6">
      <c r="A151" s="139" t="s">
        <v>501</v>
      </c>
      <c r="B151" s="139" t="s">
        <v>475</v>
      </c>
      <c r="C151" s="144">
        <v>4.08</v>
      </c>
      <c r="D151" s="145">
        <f>D150</f>
        <v>0.01</v>
      </c>
      <c r="E151" s="145">
        <f t="shared" si="17"/>
        <v>4.09</v>
      </c>
      <c r="F151" s="139"/>
    </row>
    <row r="152" spans="1:6">
      <c r="A152" s="139"/>
      <c r="B152" s="139"/>
      <c r="C152" s="144"/>
      <c r="D152" s="145"/>
      <c r="E152" s="146"/>
      <c r="F152" s="139"/>
    </row>
    <row r="153" spans="1:6">
      <c r="A153" s="139" t="s">
        <v>503</v>
      </c>
      <c r="B153" s="139" t="s">
        <v>475</v>
      </c>
      <c r="C153" s="144">
        <v>6.35</v>
      </c>
      <c r="D153" s="145">
        <f>ROUND('Staff Calcs '!L113/References!B7,2)</f>
        <v>0.02</v>
      </c>
      <c r="E153" s="145">
        <f t="shared" ref="E153:E154" si="18">ROUND(C153+D153,2)</f>
        <v>6.37</v>
      </c>
      <c r="F153" s="139"/>
    </row>
    <row r="154" spans="1:6">
      <c r="A154" s="139" t="s">
        <v>504</v>
      </c>
      <c r="B154" s="139" t="s">
        <v>510</v>
      </c>
      <c r="C154" s="144">
        <v>19.25</v>
      </c>
      <c r="D154" s="145">
        <f>ROUND('Staff Calcs '!L113,2)</f>
        <v>7.0000000000000007E-2</v>
      </c>
      <c r="E154" s="145">
        <f t="shared" si="18"/>
        <v>19.32</v>
      </c>
      <c r="F154" s="145" t="s">
        <v>448</v>
      </c>
    </row>
    <row r="155" spans="1:6">
      <c r="A155" s="139"/>
      <c r="B155" s="139"/>
      <c r="C155" s="144"/>
      <c r="D155" s="145"/>
      <c r="E155" s="146"/>
      <c r="F155" s="139"/>
    </row>
    <row r="156" spans="1:6">
      <c r="A156" s="139" t="s">
        <v>505</v>
      </c>
      <c r="B156" s="139" t="s">
        <v>475</v>
      </c>
      <c r="C156" s="144">
        <v>8.0399999999999991</v>
      </c>
      <c r="D156" s="145">
        <f>ROUND('Staff Calcs '!L118/References!B7,2)</f>
        <v>0.02</v>
      </c>
      <c r="E156" s="145">
        <f t="shared" ref="E156:E157" si="19">ROUND(C156+D156,2)</f>
        <v>8.06</v>
      </c>
      <c r="F156" s="139"/>
    </row>
    <row r="157" spans="1:6">
      <c r="A157" s="139" t="s">
        <v>506</v>
      </c>
      <c r="B157" s="139" t="s">
        <v>510</v>
      </c>
      <c r="C157" s="144">
        <v>24.41</v>
      </c>
      <c r="D157" s="147">
        <f>ROUND('Staff Calcs '!L118,2)</f>
        <v>0.11</v>
      </c>
      <c r="E157" s="145">
        <f t="shared" si="19"/>
        <v>24.52</v>
      </c>
      <c r="F157" s="139"/>
    </row>
    <row r="158" spans="1:6">
      <c r="A158" s="139"/>
      <c r="B158" s="139"/>
      <c r="C158" s="144"/>
      <c r="D158" s="139"/>
      <c r="E158" s="146"/>
      <c r="F158" s="139"/>
    </row>
    <row r="159" spans="1:6">
      <c r="A159" s="140" t="s">
        <v>507</v>
      </c>
      <c r="B159" s="139" t="s">
        <v>513</v>
      </c>
      <c r="C159" s="144"/>
      <c r="D159" s="139"/>
      <c r="E159" s="139"/>
      <c r="F159" s="139"/>
    </row>
    <row r="160" spans="1:6">
      <c r="A160" s="139" t="s">
        <v>445</v>
      </c>
      <c r="B160" s="142">
        <v>2.75</v>
      </c>
      <c r="C160" s="144">
        <v>95.95</v>
      </c>
      <c r="D160" s="145">
        <f>D118*B160</f>
        <v>0.32999999999999996</v>
      </c>
      <c r="E160" s="145">
        <f t="shared" ref="E160:E162" si="20">ROUND(C160+D160,2)</f>
        <v>96.28</v>
      </c>
      <c r="F160" s="139"/>
    </row>
    <row r="161" spans="1:6">
      <c r="A161" s="139" t="s">
        <v>480</v>
      </c>
      <c r="B161" s="142">
        <v>2.75</v>
      </c>
      <c r="C161" s="144">
        <v>134.38</v>
      </c>
      <c r="D161" s="145">
        <f>D120*B161</f>
        <v>0.46750000000000003</v>
      </c>
      <c r="E161" s="145">
        <f t="shared" si="20"/>
        <v>134.85</v>
      </c>
      <c r="F161" s="139"/>
    </row>
    <row r="162" spans="1:6">
      <c r="A162" s="139" t="s">
        <v>446</v>
      </c>
      <c r="B162" s="142">
        <v>2.75</v>
      </c>
      <c r="C162" s="144">
        <v>177.26</v>
      </c>
      <c r="D162" s="145">
        <f>D122*B162</f>
        <v>0.60499999999999998</v>
      </c>
      <c r="E162" s="145">
        <f t="shared" si="20"/>
        <v>177.87</v>
      </c>
      <c r="F162" s="139"/>
    </row>
    <row r="163" spans="1:6">
      <c r="B163" s="150"/>
    </row>
    <row r="164" spans="1:6">
      <c r="A164" s="139" t="s">
        <v>508</v>
      </c>
      <c r="B164" s="139"/>
    </row>
    <row r="165" spans="1:6">
      <c r="A165" s="139" t="s">
        <v>509</v>
      </c>
      <c r="B165" s="139"/>
    </row>
    <row r="166" spans="1:6">
      <c r="B166" s="150"/>
    </row>
    <row r="167" spans="1:6">
      <c r="A167" s="143"/>
      <c r="B167" s="143"/>
    </row>
    <row r="168" spans="1:6">
      <c r="B168" s="150"/>
    </row>
    <row r="169" spans="1:6">
      <c r="A169" s="140"/>
      <c r="B169" s="139"/>
    </row>
    <row r="170" spans="1:6">
      <c r="A170" s="140"/>
      <c r="B170" s="139"/>
    </row>
  </sheetData>
  <pageMargins left="0.7" right="0.7" top="0.75" bottom="0.75" header="0.3" footer="0.3"/>
  <pageSetup scale="97" orientation="portrait" r:id="rId1"/>
  <rowBreaks count="2" manualBreakCount="2">
    <brk id="54" max="16383" man="1"/>
    <brk id="108" max="16383" man="1"/>
  </rowBreaks>
</worksheet>
</file>

<file path=xl/worksheets/sheet4.xml><?xml version="1.0" encoding="utf-8"?>
<worksheet xmlns="http://schemas.openxmlformats.org/spreadsheetml/2006/main" xmlns:r="http://schemas.openxmlformats.org/officeDocument/2006/relationships">
  <sheetPr>
    <pageSetUpPr fitToPage="1"/>
  </sheetPr>
  <dimension ref="A1:V219"/>
  <sheetViews>
    <sheetView zoomScaleNormal="100" workbookViewId="0">
      <pane xSplit="2" ySplit="5" topLeftCell="C184" activePane="bottomRight" state="frozen"/>
      <selection activeCell="B1" sqref="B1"/>
      <selection pane="topRight" activeCell="E1" sqref="E1"/>
      <selection pane="bottomLeft" activeCell="B6" sqref="B6"/>
      <selection pane="bottomRight" activeCell="B1" sqref="B1:S220"/>
    </sheetView>
  </sheetViews>
  <sheetFormatPr defaultColWidth="10.28515625" defaultRowHeight="12.75"/>
  <cols>
    <col min="1" max="1" width="29.140625" style="5" hidden="1" customWidth="1"/>
    <col min="2" max="2" width="26.7109375" style="1" customWidth="1"/>
    <col min="3" max="3" width="9.140625" style="4" bestFit="1" customWidth="1"/>
    <col min="4" max="4" width="9.140625" style="1" bestFit="1" customWidth="1"/>
    <col min="5" max="5" width="7.7109375" style="1" bestFit="1" customWidth="1"/>
    <col min="6" max="7" width="11" style="1" bestFit="1" customWidth="1"/>
    <col min="8" max="8" width="10" style="5" bestFit="1" customWidth="1"/>
    <col min="9" max="9" width="9.140625" style="5" bestFit="1" customWidth="1"/>
    <col min="10" max="10" width="9.28515625" style="1" bestFit="1" customWidth="1"/>
    <col min="11" max="11" width="10.28515625" style="1" bestFit="1" customWidth="1"/>
    <col min="12" max="12" width="8.85546875" style="1" bestFit="1" customWidth="1"/>
    <col min="13" max="14" width="12" style="1" bestFit="1" customWidth="1"/>
    <col min="15" max="15" width="10.28515625" style="1"/>
    <col min="16" max="16" width="10" style="1" bestFit="1" customWidth="1"/>
    <col min="17" max="17" width="8.28515625" style="1" bestFit="1" customWidth="1"/>
    <col min="18" max="18" width="2.140625" style="1" customWidth="1"/>
    <col min="19" max="19" width="10" style="1" bestFit="1" customWidth="1"/>
    <col min="20" max="16384" width="10.28515625" style="1"/>
  </cols>
  <sheetData>
    <row r="1" spans="1:22">
      <c r="B1" s="2" t="s">
        <v>0</v>
      </c>
    </row>
    <row r="2" spans="1:22">
      <c r="B2" s="2" t="s">
        <v>1</v>
      </c>
      <c r="C2" s="6"/>
      <c r="D2" s="5"/>
      <c r="E2" s="5"/>
      <c r="F2" s="7"/>
      <c r="G2" s="5"/>
    </row>
    <row r="3" spans="1:22">
      <c r="B3" s="2" t="s">
        <v>2</v>
      </c>
      <c r="C3" s="6"/>
      <c r="D3" s="5"/>
      <c r="E3" s="5"/>
      <c r="F3" s="5"/>
      <c r="K3" s="8"/>
    </row>
    <row r="4" spans="1:22" ht="25.5">
      <c r="B4" s="369" t="s">
        <v>658</v>
      </c>
      <c r="C4" s="369"/>
      <c r="D4" s="369"/>
      <c r="E4" s="369"/>
      <c r="F4" s="369"/>
      <c r="G4" s="369"/>
      <c r="H4" s="369"/>
      <c r="I4" s="369"/>
      <c r="O4" s="11" t="s">
        <v>436</v>
      </c>
      <c r="P4" s="10" t="s">
        <v>437</v>
      </c>
      <c r="T4" s="21"/>
      <c r="U4" s="21"/>
    </row>
    <row r="5" spans="1:22" ht="50.25" customHeight="1">
      <c r="A5" s="151" t="s">
        <v>3</v>
      </c>
      <c r="B5" s="9" t="s">
        <v>4</v>
      </c>
      <c r="C5" s="11" t="s">
        <v>5</v>
      </c>
      <c r="D5" s="11" t="s">
        <v>6</v>
      </c>
      <c r="E5" s="11" t="s">
        <v>7</v>
      </c>
      <c r="F5" s="11" t="s">
        <v>8</v>
      </c>
      <c r="G5" s="11" t="s">
        <v>9</v>
      </c>
      <c r="H5" s="11" t="s">
        <v>10</v>
      </c>
      <c r="I5" s="11" t="s">
        <v>11</v>
      </c>
      <c r="J5" s="11" t="s">
        <v>419</v>
      </c>
      <c r="K5" s="11" t="s">
        <v>420</v>
      </c>
      <c r="L5" s="11" t="s">
        <v>421</v>
      </c>
      <c r="M5" s="11" t="s">
        <v>422</v>
      </c>
      <c r="N5" s="11" t="s">
        <v>423</v>
      </c>
      <c r="O5" s="137">
        <f>'PCR Disposal'!Q26/2000</f>
        <v>1.1499999999999915E-3</v>
      </c>
      <c r="P5" s="137">
        <f>'PCR Disposal'!$U$29</f>
        <v>0.98072499999999996</v>
      </c>
      <c r="Q5" s="9" t="s">
        <v>438</v>
      </c>
      <c r="S5" s="11" t="s">
        <v>514</v>
      </c>
      <c r="U5" s="21"/>
      <c r="V5" s="136"/>
    </row>
    <row r="6" spans="1:22">
      <c r="D6" s="5"/>
      <c r="E6" s="5"/>
      <c r="F6" s="5"/>
      <c r="G6" s="5"/>
    </row>
    <row r="7" spans="1:22">
      <c r="A7" s="152" t="s">
        <v>12</v>
      </c>
      <c r="B7" s="12" t="s">
        <v>12</v>
      </c>
      <c r="D7" s="14"/>
      <c r="E7" s="14"/>
      <c r="F7" s="14"/>
      <c r="G7" s="5"/>
    </row>
    <row r="8" spans="1:22">
      <c r="A8" s="152"/>
      <c r="B8" s="13"/>
      <c r="D8" s="14"/>
      <c r="E8" s="14"/>
      <c r="F8" s="14"/>
      <c r="G8" s="5"/>
    </row>
    <row r="9" spans="1:22">
      <c r="A9" s="153" t="s">
        <v>13</v>
      </c>
      <c r="B9" s="15" t="s">
        <v>13</v>
      </c>
      <c r="D9" s="14"/>
      <c r="E9" s="14"/>
      <c r="F9" s="14"/>
      <c r="G9" s="5"/>
    </row>
    <row r="10" spans="1:22">
      <c r="A10" s="24" t="s">
        <v>14</v>
      </c>
      <c r="B10" s="16" t="s">
        <v>15</v>
      </c>
      <c r="C10" s="17">
        <v>11.41</v>
      </c>
      <c r="D10" s="18">
        <v>11.79</v>
      </c>
      <c r="E10" s="18"/>
      <c r="F10" s="19">
        <v>2438.5700000000002</v>
      </c>
      <c r="G10" s="19">
        <v>1262.8</v>
      </c>
      <c r="H10" s="20">
        <f t="shared" ref="H10:H71" si="0">IF(D10="","",(G10/D10)+(F10/C10))</f>
        <v>320.82989193741781</v>
      </c>
      <c r="I10" s="20">
        <f t="shared" ref="I10:I71" si="1">IF(D10="","",H10/12)</f>
        <v>26.735824328118152</v>
      </c>
      <c r="J10" s="1">
        <v>4.33</v>
      </c>
      <c r="K10" s="19">
        <f>H10*J10</f>
        <v>1389.1934320890191</v>
      </c>
      <c r="L10" s="22">
        <v>20</v>
      </c>
      <c r="M10" s="19">
        <f>K10*L10</f>
        <v>27783.868641780384</v>
      </c>
      <c r="N10" s="19">
        <f>M10*$M$199</f>
        <v>22908.52891601661</v>
      </c>
      <c r="O10" s="23">
        <f>N10*$O$5</f>
        <v>26.344808253418908</v>
      </c>
      <c r="P10" s="21">
        <f>O10/$P$5</f>
        <v>26.862584571025423</v>
      </c>
      <c r="Q10" s="23">
        <f>P10/K10</f>
        <v>1.9336820885073172E-2</v>
      </c>
      <c r="S10" s="21">
        <f>H10*J10*Q10</f>
        <v>26.862584571025423</v>
      </c>
    </row>
    <row r="11" spans="1:22">
      <c r="A11" s="24" t="s">
        <v>16</v>
      </c>
      <c r="B11" s="16" t="s">
        <v>17</v>
      </c>
      <c r="C11" s="17">
        <v>12.41</v>
      </c>
      <c r="D11" s="18">
        <v>12.79</v>
      </c>
      <c r="E11" s="18"/>
      <c r="F11" s="19">
        <v>49.64</v>
      </c>
      <c r="G11" s="19">
        <v>0</v>
      </c>
      <c r="H11" s="20">
        <f t="shared" si="0"/>
        <v>4</v>
      </c>
      <c r="I11" s="20">
        <f t="shared" si="1"/>
        <v>0.33333333333333331</v>
      </c>
      <c r="J11" s="1">
        <v>4.33</v>
      </c>
      <c r="K11" s="19">
        <f t="shared" ref="K11:K49" si="2">H11*J11</f>
        <v>17.32</v>
      </c>
      <c r="L11" s="22">
        <v>20</v>
      </c>
      <c r="M11" s="19">
        <f t="shared" ref="M11:M39" si="3">K11*L11</f>
        <v>346.4</v>
      </c>
      <c r="N11" s="19">
        <f t="shared" ref="N11:N49" si="4">M11*$M$199</f>
        <v>285.61589168237759</v>
      </c>
      <c r="O11" s="23">
        <f t="shared" ref="O11:O49" si="5">N11*$O$5</f>
        <v>0.32845827543473183</v>
      </c>
      <c r="P11" s="21">
        <f t="shared" ref="P11:P49" si="6">O11/$P$5</f>
        <v>0.33491373772946731</v>
      </c>
      <c r="Q11" s="23">
        <f t="shared" ref="Q11:Q49" si="7">P11/K11</f>
        <v>1.9336820885073169E-2</v>
      </c>
      <c r="S11" s="21">
        <f t="shared" ref="S11:S49" si="8">H11*J11*Q11</f>
        <v>0.33491373772946731</v>
      </c>
    </row>
    <row r="12" spans="1:22">
      <c r="A12" s="24" t="s">
        <v>18</v>
      </c>
      <c r="B12" s="16" t="s">
        <v>19</v>
      </c>
      <c r="C12" s="17">
        <v>7.46</v>
      </c>
      <c r="D12" s="18">
        <v>7.61</v>
      </c>
      <c r="E12" s="18"/>
      <c r="F12" s="19">
        <v>842.98</v>
      </c>
      <c r="G12" s="19">
        <v>390.55</v>
      </c>
      <c r="H12" s="20">
        <f t="shared" si="0"/>
        <v>164.32063074901447</v>
      </c>
      <c r="I12" s="20">
        <f t="shared" si="1"/>
        <v>13.693385895751206</v>
      </c>
      <c r="J12" s="1">
        <v>1</v>
      </c>
      <c r="K12" s="19">
        <f t="shared" si="2"/>
        <v>164.32063074901447</v>
      </c>
      <c r="L12" s="22">
        <v>34</v>
      </c>
      <c r="M12" s="19">
        <f t="shared" si="3"/>
        <v>5586.9014454664921</v>
      </c>
      <c r="N12" s="19">
        <f t="shared" si="4"/>
        <v>4606.5468766988351</v>
      </c>
      <c r="O12" s="23">
        <f t="shared" si="5"/>
        <v>5.2975289082036214</v>
      </c>
      <c r="P12" s="21">
        <f t="shared" si="6"/>
        <v>5.4016456276770981</v>
      </c>
      <c r="Q12" s="138">
        <f t="shared" si="7"/>
        <v>3.2872595504624395E-2</v>
      </c>
      <c r="S12" s="21">
        <f t="shared" si="8"/>
        <v>5.4016456276770981</v>
      </c>
    </row>
    <row r="13" spans="1:22">
      <c r="A13" s="24" t="s">
        <v>20</v>
      </c>
      <c r="B13" s="16" t="s">
        <v>21</v>
      </c>
      <c r="C13" s="17">
        <v>6.46</v>
      </c>
      <c r="D13" s="18">
        <v>6.61</v>
      </c>
      <c r="E13" s="18"/>
      <c r="F13" s="19">
        <f>6769.89+45</f>
        <v>6814.89</v>
      </c>
      <c r="G13" s="19">
        <f>3924.31+75</f>
        <v>3999.31</v>
      </c>
      <c r="H13" s="20">
        <f t="shared" si="0"/>
        <v>1659.9758668496461</v>
      </c>
      <c r="I13" s="20">
        <f t="shared" si="1"/>
        <v>138.33132223747052</v>
      </c>
      <c r="J13" s="1">
        <v>1</v>
      </c>
      <c r="K13" s="19">
        <f t="shared" si="2"/>
        <v>1659.9758668496461</v>
      </c>
      <c r="L13" s="22">
        <v>34</v>
      </c>
      <c r="M13" s="19">
        <f t="shared" si="3"/>
        <v>56439.179472887969</v>
      </c>
      <c r="N13" s="19">
        <f t="shared" si="4"/>
        <v>46535.58478917621</v>
      </c>
      <c r="O13" s="23">
        <f t="shared" si="5"/>
        <v>53.515922507552247</v>
      </c>
      <c r="P13" s="21">
        <f t="shared" si="6"/>
        <v>54.567715218386653</v>
      </c>
      <c r="Q13" s="23">
        <f t="shared" si="7"/>
        <v>3.2872595504624388E-2</v>
      </c>
      <c r="S13" s="21">
        <f t="shared" si="8"/>
        <v>54.567715218386645</v>
      </c>
    </row>
    <row r="14" spans="1:22">
      <c r="A14" s="24" t="s">
        <v>22</v>
      </c>
      <c r="B14" s="16" t="s">
        <v>23</v>
      </c>
      <c r="C14" s="17">
        <v>15.89</v>
      </c>
      <c r="D14" s="18">
        <v>16.54</v>
      </c>
      <c r="E14" s="18"/>
      <c r="F14" s="19">
        <f>54973.2+1939</f>
        <v>56912.2</v>
      </c>
      <c r="G14" s="19">
        <f>18118.66+743</f>
        <v>18861.66</v>
      </c>
      <c r="H14" s="20">
        <f t="shared" si="0"/>
        <v>4722.0026337357112</v>
      </c>
      <c r="I14" s="20">
        <f t="shared" si="1"/>
        <v>393.50021947797592</v>
      </c>
      <c r="J14" s="1">
        <v>4.33</v>
      </c>
      <c r="K14" s="19">
        <f t="shared" si="2"/>
        <v>20446.271404075629</v>
      </c>
      <c r="L14" s="22">
        <v>34</v>
      </c>
      <c r="M14" s="19">
        <f t="shared" si="3"/>
        <v>695173.22773857135</v>
      </c>
      <c r="N14" s="19">
        <f t="shared" si="4"/>
        <v>573188.57192340819</v>
      </c>
      <c r="O14" s="23">
        <f t="shared" si="5"/>
        <v>659.16685771191453</v>
      </c>
      <c r="P14" s="21">
        <f t="shared" si="6"/>
        <v>672.12200944394658</v>
      </c>
      <c r="Q14" s="23">
        <f t="shared" si="7"/>
        <v>3.2872595504624381E-2</v>
      </c>
      <c r="S14" s="21">
        <f t="shared" si="8"/>
        <v>672.12200944394658</v>
      </c>
    </row>
    <row r="15" spans="1:22">
      <c r="A15" s="24" t="s">
        <v>24</v>
      </c>
      <c r="B15" s="16" t="s">
        <v>25</v>
      </c>
      <c r="C15" s="17">
        <v>14.89</v>
      </c>
      <c r="D15" s="18">
        <v>15.54</v>
      </c>
      <c r="E15" s="18"/>
      <c r="F15" s="19">
        <f>495299.11+17673</f>
        <v>512972.11</v>
      </c>
      <c r="G15" s="19">
        <f>185151.91+5544</f>
        <v>190695.91</v>
      </c>
      <c r="H15" s="20">
        <f t="shared" si="0"/>
        <v>46722.073797725578</v>
      </c>
      <c r="I15" s="20">
        <f t="shared" si="1"/>
        <v>3893.5061498104646</v>
      </c>
      <c r="J15" s="1">
        <v>4.33</v>
      </c>
      <c r="K15" s="19">
        <f t="shared" si="2"/>
        <v>202306.57954415175</v>
      </c>
      <c r="L15" s="22">
        <v>34</v>
      </c>
      <c r="M15" s="19">
        <f t="shared" si="3"/>
        <v>6878423.7045011595</v>
      </c>
      <c r="N15" s="19">
        <f t="shared" si="4"/>
        <v>5671440.8768195771</v>
      </c>
      <c r="O15" s="23">
        <f t="shared" si="5"/>
        <v>6522.1570083424658</v>
      </c>
      <c r="P15" s="21">
        <f t="shared" si="6"/>
        <v>6650.3423572790189</v>
      </c>
      <c r="Q15" s="23">
        <f t="shared" si="7"/>
        <v>3.2872595504624388E-2</v>
      </c>
      <c r="S15" s="21">
        <f t="shared" si="8"/>
        <v>6650.3423572790189</v>
      </c>
    </row>
    <row r="16" spans="1:22">
      <c r="A16" s="24" t="s">
        <v>26</v>
      </c>
      <c r="B16" s="16" t="s">
        <v>27</v>
      </c>
      <c r="C16" s="17">
        <v>23.83</v>
      </c>
      <c r="D16" s="18">
        <v>24.81</v>
      </c>
      <c r="E16" s="18"/>
      <c r="F16" s="19">
        <v>5117.49</v>
      </c>
      <c r="G16" s="19">
        <v>10152.14</v>
      </c>
      <c r="H16" s="20">
        <f t="shared" si="0"/>
        <v>623.94538078147593</v>
      </c>
      <c r="I16" s="20">
        <f t="shared" si="1"/>
        <v>51.995448398456325</v>
      </c>
      <c r="J16" s="1">
        <v>4.33</v>
      </c>
      <c r="K16" s="19">
        <f t="shared" si="2"/>
        <v>2701.683498783791</v>
      </c>
      <c r="L16" s="22">
        <v>51</v>
      </c>
      <c r="M16" s="19">
        <f t="shared" si="3"/>
        <v>137785.85843797334</v>
      </c>
      <c r="N16" s="19">
        <f t="shared" si="4"/>
        <v>113608.05663678869</v>
      </c>
      <c r="O16" s="23">
        <f t="shared" si="5"/>
        <v>130.64926513230603</v>
      </c>
      <c r="P16" s="21">
        <f t="shared" si="6"/>
        <v>133.21702325555688</v>
      </c>
      <c r="Q16" s="23">
        <f t="shared" si="7"/>
        <v>4.9308893256936576E-2</v>
      </c>
      <c r="S16" s="21">
        <f t="shared" si="8"/>
        <v>133.21702325555688</v>
      </c>
    </row>
    <row r="17" spans="1:19">
      <c r="A17" s="24" t="s">
        <v>28</v>
      </c>
      <c r="B17" s="16" t="s">
        <v>29</v>
      </c>
      <c r="C17" s="17">
        <v>21.83</v>
      </c>
      <c r="D17" s="18">
        <v>22.81</v>
      </c>
      <c r="E17" s="18"/>
      <c r="F17" s="19">
        <f>57322.31+2790</f>
        <v>60112.31</v>
      </c>
      <c r="G17" s="19">
        <f>98099.33+3540</f>
        <v>101639.33</v>
      </c>
      <c r="H17" s="20">
        <f t="shared" si="0"/>
        <v>7209.5669819575487</v>
      </c>
      <c r="I17" s="20">
        <f t="shared" si="1"/>
        <v>600.79724849646243</v>
      </c>
      <c r="J17" s="1">
        <v>4.33</v>
      </c>
      <c r="K17" s="19">
        <f t="shared" si="2"/>
        <v>31217.425031876188</v>
      </c>
      <c r="L17" s="22">
        <v>51</v>
      </c>
      <c r="M17" s="19">
        <f t="shared" si="3"/>
        <v>1592088.6766256855</v>
      </c>
      <c r="N17" s="19">
        <f t="shared" si="4"/>
        <v>1312718.9001497161</v>
      </c>
      <c r="O17" s="23">
        <f t="shared" si="5"/>
        <v>1509.6267351721624</v>
      </c>
      <c r="P17" s="21">
        <f t="shared" si="6"/>
        <v>1539.2966786532029</v>
      </c>
      <c r="Q17" s="23">
        <f t="shared" si="7"/>
        <v>4.9308893256936576E-2</v>
      </c>
      <c r="S17" s="21">
        <f t="shared" si="8"/>
        <v>1539.2966786532029</v>
      </c>
    </row>
    <row r="18" spans="1:19">
      <c r="A18" s="24" t="s">
        <v>30</v>
      </c>
      <c r="B18" s="16" t="s">
        <v>31</v>
      </c>
      <c r="C18" s="17">
        <v>31.76</v>
      </c>
      <c r="D18" s="18">
        <v>33.229999999999997</v>
      </c>
      <c r="E18" s="18"/>
      <c r="F18" s="19">
        <v>412.88</v>
      </c>
      <c r="G18" s="19">
        <v>976.6</v>
      </c>
      <c r="H18" s="20">
        <f t="shared" si="0"/>
        <v>42.389106229310869</v>
      </c>
      <c r="I18" s="20">
        <f t="shared" si="1"/>
        <v>3.5324255191092391</v>
      </c>
      <c r="J18" s="1">
        <v>4.33</v>
      </c>
      <c r="K18" s="19">
        <f t="shared" si="2"/>
        <v>183.54482997291606</v>
      </c>
      <c r="L18" s="22">
        <v>77</v>
      </c>
      <c r="M18" s="19">
        <f t="shared" si="3"/>
        <v>14132.951907914538</v>
      </c>
      <c r="N18" s="19">
        <f t="shared" si="4"/>
        <v>11652.989784304764</v>
      </c>
      <c r="O18" s="23">
        <f t="shared" si="5"/>
        <v>13.400938251950379</v>
      </c>
      <c r="P18" s="21">
        <f t="shared" si="6"/>
        <v>13.664317981034825</v>
      </c>
      <c r="Q18" s="23">
        <f t="shared" si="7"/>
        <v>7.4446760407531704E-2</v>
      </c>
      <c r="S18" s="21">
        <f t="shared" si="8"/>
        <v>13.664317981034825</v>
      </c>
    </row>
    <row r="19" spans="1:19">
      <c r="A19" s="24" t="s">
        <v>32</v>
      </c>
      <c r="B19" s="16" t="s">
        <v>33</v>
      </c>
      <c r="C19" s="17">
        <v>28.76</v>
      </c>
      <c r="D19" s="18">
        <v>30.23</v>
      </c>
      <c r="E19" s="18"/>
      <c r="F19" s="19">
        <f>4751.77+238</f>
        <v>4989.7700000000004</v>
      </c>
      <c r="G19" s="19">
        <f>6195.43+481</f>
        <v>6676.43</v>
      </c>
      <c r="H19" s="20">
        <f t="shared" si="0"/>
        <v>394.35131987631223</v>
      </c>
      <c r="I19" s="20">
        <f t="shared" si="1"/>
        <v>32.862609989692686</v>
      </c>
      <c r="J19" s="1">
        <v>4.33</v>
      </c>
      <c r="K19" s="19">
        <f t="shared" si="2"/>
        <v>1707.541215064432</v>
      </c>
      <c r="L19" s="22">
        <v>77</v>
      </c>
      <c r="M19" s="19">
        <f t="shared" si="3"/>
        <v>131480.67355996126</v>
      </c>
      <c r="N19" s="19">
        <f t="shared" si="4"/>
        <v>108409.2662177481</v>
      </c>
      <c r="O19" s="23">
        <f t="shared" si="5"/>
        <v>124.67065615040939</v>
      </c>
      <c r="P19" s="21">
        <f t="shared" si="6"/>
        <v>127.12091172388732</v>
      </c>
      <c r="Q19" s="23">
        <f t="shared" si="7"/>
        <v>7.444676040753169E-2</v>
      </c>
      <c r="S19" s="21">
        <f t="shared" si="8"/>
        <v>127.1209117238873</v>
      </c>
    </row>
    <row r="20" spans="1:19">
      <c r="A20" s="24" t="s">
        <v>34</v>
      </c>
      <c r="B20" s="16" t="s">
        <v>35</v>
      </c>
      <c r="C20" s="17">
        <v>39.57</v>
      </c>
      <c r="D20" s="18">
        <v>41.42</v>
      </c>
      <c r="E20" s="18"/>
      <c r="F20" s="19">
        <v>118.71</v>
      </c>
      <c r="G20" s="19">
        <v>331.36</v>
      </c>
      <c r="H20" s="20">
        <f t="shared" si="0"/>
        <v>11</v>
      </c>
      <c r="I20" s="20">
        <f t="shared" si="1"/>
        <v>0.91666666666666663</v>
      </c>
      <c r="J20" s="1">
        <v>4.33</v>
      </c>
      <c r="K20" s="19">
        <f t="shared" si="2"/>
        <v>47.63</v>
      </c>
      <c r="L20" s="22">
        <v>97</v>
      </c>
      <c r="M20" s="19">
        <f t="shared" si="3"/>
        <v>4620.1100000000006</v>
      </c>
      <c r="N20" s="19">
        <f t="shared" si="4"/>
        <v>3809.4019553137114</v>
      </c>
      <c r="O20" s="23">
        <f t="shared" si="5"/>
        <v>4.3808122486107361</v>
      </c>
      <c r="P20" s="21">
        <f t="shared" si="6"/>
        <v>4.4669119769667711</v>
      </c>
      <c r="Q20" s="23">
        <f t="shared" si="7"/>
        <v>9.378358129260489E-2</v>
      </c>
      <c r="S20" s="21">
        <f t="shared" si="8"/>
        <v>4.4669119769667711</v>
      </c>
    </row>
    <row r="21" spans="1:19">
      <c r="A21" s="24" t="s">
        <v>36</v>
      </c>
      <c r="B21" s="16" t="s">
        <v>37</v>
      </c>
      <c r="C21" s="17">
        <v>35.57</v>
      </c>
      <c r="D21" s="18">
        <v>37.42</v>
      </c>
      <c r="E21" s="18"/>
      <c r="F21" s="19">
        <v>1018.68</v>
      </c>
      <c r="G21" s="19">
        <f>1210.96+166</f>
        <v>1376.96</v>
      </c>
      <c r="H21" s="20">
        <f t="shared" si="0"/>
        <v>65.43617503865805</v>
      </c>
      <c r="I21" s="20">
        <f t="shared" si="1"/>
        <v>5.4530145865548372</v>
      </c>
      <c r="J21" s="1">
        <v>4.33</v>
      </c>
      <c r="K21" s="19">
        <f t="shared" si="2"/>
        <v>283.33863791738935</v>
      </c>
      <c r="L21" s="22">
        <v>97</v>
      </c>
      <c r="M21" s="19">
        <f t="shared" si="3"/>
        <v>27483.847877986766</v>
      </c>
      <c r="N21" s="19">
        <f t="shared" si="4"/>
        <v>22661.153921864927</v>
      </c>
      <c r="O21" s="23">
        <f t="shared" si="5"/>
        <v>26.060327010144473</v>
      </c>
      <c r="P21" s="21">
        <f t="shared" si="6"/>
        <v>26.572512182461416</v>
      </c>
      <c r="Q21" s="23">
        <f t="shared" si="7"/>
        <v>9.3783581292604862E-2</v>
      </c>
      <c r="S21" s="21">
        <f t="shared" si="8"/>
        <v>26.57251218246142</v>
      </c>
    </row>
    <row r="22" spans="1:19">
      <c r="A22" s="24" t="s">
        <v>38</v>
      </c>
      <c r="B22" s="16" t="s">
        <v>25</v>
      </c>
      <c r="C22" s="17">
        <f>C15</f>
        <v>14.89</v>
      </c>
      <c r="D22" s="18">
        <f>D15</f>
        <v>15.54</v>
      </c>
      <c r="E22" s="18"/>
      <c r="F22" s="19">
        <v>1443.56</v>
      </c>
      <c r="G22" s="19">
        <v>0</v>
      </c>
      <c r="H22" s="20">
        <f t="shared" si="0"/>
        <v>96.948287441235721</v>
      </c>
      <c r="I22" s="20">
        <f t="shared" si="1"/>
        <v>8.0790239534363106</v>
      </c>
      <c r="J22" s="1">
        <v>4.33</v>
      </c>
      <c r="K22" s="19">
        <f t="shared" si="2"/>
        <v>419.7860846205507</v>
      </c>
      <c r="L22" s="22">
        <v>34</v>
      </c>
      <c r="M22" s="19">
        <f t="shared" si="3"/>
        <v>14272.726877098723</v>
      </c>
      <c r="N22" s="19">
        <f t="shared" si="4"/>
        <v>11768.237914958396</v>
      </c>
      <c r="O22" s="23">
        <f t="shared" si="5"/>
        <v>13.533473602202056</v>
      </c>
      <c r="P22" s="21">
        <f t="shared" si="6"/>
        <v>13.799458158201388</v>
      </c>
      <c r="Q22" s="23">
        <f t="shared" si="7"/>
        <v>3.2872595504624388E-2</v>
      </c>
      <c r="S22" s="21">
        <f t="shared" si="8"/>
        <v>13.799458158201388</v>
      </c>
    </row>
    <row r="23" spans="1:19">
      <c r="A23" s="24" t="s">
        <v>39</v>
      </c>
      <c r="B23" s="24" t="s">
        <v>40</v>
      </c>
      <c r="C23" s="17">
        <f>C15</f>
        <v>14.89</v>
      </c>
      <c r="D23" s="18">
        <v>15.54</v>
      </c>
      <c r="E23" s="18"/>
      <c r="F23" s="19">
        <v>494.68</v>
      </c>
      <c r="G23" s="19">
        <v>906.79</v>
      </c>
      <c r="H23" s="20">
        <f t="shared" si="0"/>
        <v>91.574291695513992</v>
      </c>
      <c r="I23" s="20">
        <f t="shared" si="1"/>
        <v>7.6311909746261657</v>
      </c>
      <c r="J23" s="1">
        <v>4.33</v>
      </c>
      <c r="K23" s="19">
        <f t="shared" si="2"/>
        <v>396.51668304157562</v>
      </c>
      <c r="L23" s="22">
        <v>37</v>
      </c>
      <c r="M23" s="19">
        <f t="shared" si="3"/>
        <v>14671.117272538298</v>
      </c>
      <c r="N23" s="19">
        <f t="shared" si="4"/>
        <v>12096.721252230824</v>
      </c>
      <c r="O23" s="23">
        <f t="shared" si="5"/>
        <v>13.911229440065345</v>
      </c>
      <c r="P23" s="21">
        <f t="shared" si="6"/>
        <v>14.184638344148814</v>
      </c>
      <c r="Q23" s="23">
        <f t="shared" si="7"/>
        <v>3.5773118637385366E-2</v>
      </c>
      <c r="S23" s="21">
        <f t="shared" si="8"/>
        <v>14.184638344148814</v>
      </c>
    </row>
    <row r="24" spans="1:19" ht="13.5" customHeight="1">
      <c r="A24" s="24" t="s">
        <v>41</v>
      </c>
      <c r="B24" s="24" t="s">
        <v>42</v>
      </c>
      <c r="C24" s="17">
        <f>C17</f>
        <v>21.83</v>
      </c>
      <c r="D24" s="18">
        <v>22.81</v>
      </c>
      <c r="E24" s="18"/>
      <c r="F24" s="19">
        <v>98.24</v>
      </c>
      <c r="G24" s="19">
        <v>273.72000000000003</v>
      </c>
      <c r="H24" s="20">
        <f t="shared" si="0"/>
        <v>16.500229042601926</v>
      </c>
      <c r="I24" s="20">
        <f t="shared" si="1"/>
        <v>1.3750190868834939</v>
      </c>
      <c r="J24" s="1">
        <v>4.33</v>
      </c>
      <c r="K24" s="19">
        <f t="shared" si="2"/>
        <v>71.445991754466348</v>
      </c>
      <c r="L24" s="22">
        <f>L23*2</f>
        <v>74</v>
      </c>
      <c r="M24" s="19">
        <f t="shared" si="3"/>
        <v>5287.0033898305101</v>
      </c>
      <c r="N24" s="19">
        <f t="shared" si="4"/>
        <v>4359.2730586437474</v>
      </c>
      <c r="O24" s="23">
        <f t="shared" si="5"/>
        <v>5.013164017440273</v>
      </c>
      <c r="P24" s="21">
        <f t="shared" si="6"/>
        <v>5.1116918783963632</v>
      </c>
      <c r="Q24" s="23">
        <f t="shared" si="7"/>
        <v>7.1546237274770746E-2</v>
      </c>
      <c r="S24" s="21">
        <f t="shared" si="8"/>
        <v>5.1116918783963641</v>
      </c>
    </row>
    <row r="25" spans="1:19">
      <c r="A25" s="24" t="s">
        <v>43</v>
      </c>
      <c r="B25" s="16" t="s">
        <v>44</v>
      </c>
      <c r="C25" s="17">
        <v>9.92</v>
      </c>
      <c r="D25" s="18">
        <v>10.130000000000001</v>
      </c>
      <c r="E25" s="18"/>
      <c r="F25" s="19">
        <v>3294.68</v>
      </c>
      <c r="G25" s="19">
        <v>1722</v>
      </c>
      <c r="H25" s="20">
        <f t="shared" si="0"/>
        <v>502.11512833168808</v>
      </c>
      <c r="I25" s="20">
        <f t="shared" si="1"/>
        <v>41.842927360974009</v>
      </c>
      <c r="J25" s="1">
        <v>1</v>
      </c>
      <c r="K25" s="19">
        <f t="shared" si="2"/>
        <v>502.11512833168808</v>
      </c>
      <c r="L25" s="22">
        <v>47</v>
      </c>
      <c r="M25" s="19">
        <f t="shared" si="3"/>
        <v>23599.411031589341</v>
      </c>
      <c r="N25" s="19">
        <f t="shared" si="4"/>
        <v>19458.333790318498</v>
      </c>
      <c r="O25" s="23">
        <f t="shared" si="5"/>
        <v>22.377083858866108</v>
      </c>
      <c r="P25" s="21">
        <f t="shared" si="6"/>
        <v>22.816879205553146</v>
      </c>
      <c r="Q25" s="23">
        <f t="shared" si="7"/>
        <v>4.5441529079921952E-2</v>
      </c>
      <c r="S25" s="21">
        <f t="shared" si="8"/>
        <v>22.816879205553146</v>
      </c>
    </row>
    <row r="26" spans="1:19">
      <c r="A26" s="24" t="s">
        <v>45</v>
      </c>
      <c r="B26" s="16" t="s">
        <v>46</v>
      </c>
      <c r="C26" s="17">
        <v>7.92</v>
      </c>
      <c r="D26" s="18">
        <v>8.1300000000000008</v>
      </c>
      <c r="E26" s="18"/>
      <c r="F26" s="19">
        <v>80680.61</v>
      </c>
      <c r="G26" s="19">
        <v>43944.47</v>
      </c>
      <c r="H26" s="20">
        <f t="shared" si="0"/>
        <v>15592.169569309328</v>
      </c>
      <c r="I26" s="20">
        <f t="shared" si="1"/>
        <v>1299.3474641091107</v>
      </c>
      <c r="J26" s="1">
        <v>1</v>
      </c>
      <c r="K26" s="19">
        <f t="shared" si="2"/>
        <v>15592.169569309328</v>
      </c>
      <c r="L26" s="22">
        <v>47</v>
      </c>
      <c r="M26" s="19">
        <f t="shared" si="3"/>
        <v>732831.96975753841</v>
      </c>
      <c r="N26" s="19">
        <f t="shared" si="4"/>
        <v>604239.19311677967</v>
      </c>
      <c r="O26" s="23">
        <f t="shared" si="5"/>
        <v>694.87507208429145</v>
      </c>
      <c r="P26" s="21">
        <f t="shared" si="6"/>
        <v>708.53202690284377</v>
      </c>
      <c r="Q26" s="23">
        <f t="shared" si="7"/>
        <v>4.5441529079921938E-2</v>
      </c>
      <c r="S26" s="21">
        <f t="shared" si="8"/>
        <v>708.53202690284377</v>
      </c>
    </row>
    <row r="27" spans="1:19">
      <c r="A27" s="24" t="s">
        <v>47</v>
      </c>
      <c r="B27" s="16" t="s">
        <v>48</v>
      </c>
      <c r="C27" s="17">
        <v>22.95</v>
      </c>
      <c r="D27" s="18">
        <v>23.85</v>
      </c>
      <c r="E27" s="18"/>
      <c r="F27" s="19">
        <v>143905.71</v>
      </c>
      <c r="G27" s="19">
        <v>69687.22</v>
      </c>
      <c r="H27" s="20">
        <f t="shared" si="0"/>
        <v>9192.297323961031</v>
      </c>
      <c r="I27" s="20">
        <f t="shared" si="1"/>
        <v>766.02477699675262</v>
      </c>
      <c r="J27" s="1">
        <v>4.33</v>
      </c>
      <c r="K27" s="19">
        <f t="shared" si="2"/>
        <v>39802.647412751263</v>
      </c>
      <c r="L27" s="22">
        <v>47</v>
      </c>
      <c r="M27" s="19">
        <f t="shared" si="3"/>
        <v>1870724.4283993093</v>
      </c>
      <c r="N27" s="19">
        <f t="shared" si="4"/>
        <v>1542461.3906156896</v>
      </c>
      <c r="O27" s="23">
        <f t="shared" si="5"/>
        <v>1773.83059920803</v>
      </c>
      <c r="P27" s="21">
        <f t="shared" si="6"/>
        <v>1808.6931598644167</v>
      </c>
      <c r="Q27" s="23">
        <f t="shared" si="7"/>
        <v>4.5441529079921952E-2</v>
      </c>
      <c r="S27" s="21">
        <f t="shared" si="8"/>
        <v>1808.6931598644169</v>
      </c>
    </row>
    <row r="28" spans="1:19">
      <c r="A28" s="24" t="s">
        <v>49</v>
      </c>
      <c r="B28" s="16" t="s">
        <v>50</v>
      </c>
      <c r="C28" s="17">
        <v>20.95</v>
      </c>
      <c r="D28" s="18">
        <v>21.85</v>
      </c>
      <c r="E28" s="18"/>
      <c r="F28" s="19">
        <v>3507626.39</v>
      </c>
      <c r="G28" s="19">
        <v>1826570.87</v>
      </c>
      <c r="H28" s="20">
        <f t="shared" si="0"/>
        <v>251024.38812690126</v>
      </c>
      <c r="I28" s="20">
        <f t="shared" si="1"/>
        <v>20918.699010575107</v>
      </c>
      <c r="J28" s="1">
        <v>4.33</v>
      </c>
      <c r="K28" s="19">
        <f t="shared" si="2"/>
        <v>1086935.6005894826</v>
      </c>
      <c r="L28" s="22">
        <v>47</v>
      </c>
      <c r="M28" s="19">
        <f t="shared" si="3"/>
        <v>51085973.22770568</v>
      </c>
      <c r="N28" s="19">
        <f t="shared" si="4"/>
        <v>42121725.738721788</v>
      </c>
      <c r="O28" s="23">
        <f t="shared" si="5"/>
        <v>48439.9845995297</v>
      </c>
      <c r="P28" s="21">
        <f t="shared" si="6"/>
        <v>49392.015702189405</v>
      </c>
      <c r="Q28" s="23">
        <f t="shared" si="7"/>
        <v>4.5441529079921952E-2</v>
      </c>
      <c r="S28" s="21">
        <f t="shared" si="8"/>
        <v>49392.015702189405</v>
      </c>
    </row>
    <row r="29" spans="1:19" s="5" customFormat="1">
      <c r="A29" s="24" t="s">
        <v>51</v>
      </c>
      <c r="B29" s="24" t="s">
        <v>52</v>
      </c>
      <c r="C29" s="25">
        <v>13.57</v>
      </c>
      <c r="D29" s="18">
        <v>14.02</v>
      </c>
      <c r="E29" s="18"/>
      <c r="F29" s="20">
        <v>661629.6</v>
      </c>
      <c r="G29" s="20">
        <v>68.75</v>
      </c>
      <c r="H29" s="20">
        <f t="shared" si="0"/>
        <v>48761.690739200865</v>
      </c>
      <c r="I29" s="20">
        <f t="shared" si="1"/>
        <v>4063.4742282667389</v>
      </c>
      <c r="J29" s="5">
        <v>2.17</v>
      </c>
      <c r="K29" s="19">
        <f t="shared" si="2"/>
        <v>105812.86890406588</v>
      </c>
      <c r="L29" s="22">
        <v>47</v>
      </c>
      <c r="M29" s="19">
        <f t="shared" si="3"/>
        <v>4973204.8384910962</v>
      </c>
      <c r="N29" s="19">
        <f t="shared" si="4"/>
        <v>4100537.9170460422</v>
      </c>
      <c r="O29" s="23">
        <f t="shared" si="5"/>
        <v>4715.6186046029134</v>
      </c>
      <c r="P29" s="21">
        <f t="shared" si="6"/>
        <v>4808.2985593340782</v>
      </c>
      <c r="Q29" s="23">
        <f t="shared" si="7"/>
        <v>4.5441529079921945E-2</v>
      </c>
      <c r="S29" s="21">
        <f t="shared" si="8"/>
        <v>4808.2985593340782</v>
      </c>
    </row>
    <row r="30" spans="1:19">
      <c r="A30" s="24" t="s">
        <v>53</v>
      </c>
      <c r="B30" s="16" t="s">
        <v>54</v>
      </c>
      <c r="C30" s="17">
        <v>15.57</v>
      </c>
      <c r="D30" s="18">
        <v>16.02</v>
      </c>
      <c r="E30" s="18"/>
      <c r="F30" s="19">
        <v>37887.47</v>
      </c>
      <c r="G30" s="19">
        <v>18552.419999999998</v>
      </c>
      <c r="H30" s="20">
        <f t="shared" si="0"/>
        <v>3591.4421712743465</v>
      </c>
      <c r="I30" s="20">
        <f t="shared" si="1"/>
        <v>299.28684760619552</v>
      </c>
      <c r="J30" s="5">
        <v>2.17</v>
      </c>
      <c r="K30" s="19">
        <f t="shared" si="2"/>
        <v>7793.429511665332</v>
      </c>
      <c r="L30" s="22">
        <v>47</v>
      </c>
      <c r="M30" s="19">
        <f t="shared" si="3"/>
        <v>366291.1870482706</v>
      </c>
      <c r="N30" s="19">
        <f t="shared" si="4"/>
        <v>302016.6974716754</v>
      </c>
      <c r="O30" s="23">
        <f t="shared" si="5"/>
        <v>347.31920209242418</v>
      </c>
      <c r="P30" s="21">
        <f t="shared" si="6"/>
        <v>354.1453537866621</v>
      </c>
      <c r="Q30" s="23">
        <f t="shared" si="7"/>
        <v>4.5441529079921952E-2</v>
      </c>
      <c r="S30" s="21">
        <f t="shared" si="8"/>
        <v>354.1453537866621</v>
      </c>
    </row>
    <row r="31" spans="1:19" s="5" customFormat="1">
      <c r="A31" s="24" t="s">
        <v>55</v>
      </c>
      <c r="B31" s="24" t="s">
        <v>56</v>
      </c>
      <c r="C31" s="25">
        <f>C29</f>
        <v>13.57</v>
      </c>
      <c r="D31" s="18">
        <v>14.02</v>
      </c>
      <c r="E31" s="18"/>
      <c r="F31" s="20">
        <v>299008.18</v>
      </c>
      <c r="G31" s="20">
        <v>515310.6</v>
      </c>
      <c r="H31" s="20">
        <f t="shared" si="0"/>
        <v>58789.893402098489</v>
      </c>
      <c r="I31" s="20">
        <f t="shared" si="1"/>
        <v>4899.1577835082071</v>
      </c>
      <c r="J31" s="5">
        <v>2.17</v>
      </c>
      <c r="K31" s="19">
        <f t="shared" si="2"/>
        <v>127574.06868255371</v>
      </c>
      <c r="L31" s="22">
        <v>47</v>
      </c>
      <c r="M31" s="19">
        <f t="shared" si="3"/>
        <v>5995981.2280800249</v>
      </c>
      <c r="N31" s="19">
        <f t="shared" si="4"/>
        <v>4943843.8942519454</v>
      </c>
      <c r="O31" s="23">
        <f t="shared" si="5"/>
        <v>5685.4204783896957</v>
      </c>
      <c r="P31" s="21">
        <f t="shared" si="6"/>
        <v>5797.1607518822257</v>
      </c>
      <c r="Q31" s="23">
        <f t="shared" si="7"/>
        <v>4.5441529079921959E-2</v>
      </c>
      <c r="S31" s="21">
        <f t="shared" si="8"/>
        <v>5797.1607518822257</v>
      </c>
    </row>
    <row r="32" spans="1:19">
      <c r="A32" s="24" t="s">
        <v>57</v>
      </c>
      <c r="B32" s="16" t="s">
        <v>58</v>
      </c>
      <c r="C32" s="17">
        <v>13.81</v>
      </c>
      <c r="D32" s="18">
        <v>14.11</v>
      </c>
      <c r="E32" s="18"/>
      <c r="F32" s="19">
        <v>32069.85</v>
      </c>
      <c r="G32" s="19">
        <v>112.88</v>
      </c>
      <c r="H32" s="20">
        <f t="shared" si="0"/>
        <v>2330.2194062273711</v>
      </c>
      <c r="I32" s="20">
        <f t="shared" si="1"/>
        <v>194.1849505189476</v>
      </c>
      <c r="J32" s="1">
        <v>1</v>
      </c>
      <c r="K32" s="19">
        <f t="shared" si="2"/>
        <v>2330.2194062273711</v>
      </c>
      <c r="L32" s="22">
        <v>68</v>
      </c>
      <c r="M32" s="19">
        <f t="shared" si="3"/>
        <v>158454.91962346123</v>
      </c>
      <c r="N32" s="19">
        <f t="shared" si="4"/>
        <v>130650.24006845945</v>
      </c>
      <c r="O32" s="23">
        <f t="shared" si="5"/>
        <v>150.24777607872727</v>
      </c>
      <c r="P32" s="21">
        <f t="shared" si="6"/>
        <v>153.20071995587679</v>
      </c>
      <c r="Q32" s="23">
        <f t="shared" si="7"/>
        <v>6.5745191009248777E-2</v>
      </c>
      <c r="S32" s="21">
        <f t="shared" si="8"/>
        <v>153.20071995587679</v>
      </c>
    </row>
    <row r="33" spans="1:22">
      <c r="A33" s="24" t="s">
        <v>59</v>
      </c>
      <c r="B33" s="16" t="s">
        <v>60</v>
      </c>
      <c r="C33" s="17">
        <v>10.81</v>
      </c>
      <c r="D33" s="18">
        <v>11.11</v>
      </c>
      <c r="E33" s="18"/>
      <c r="F33" s="19">
        <v>8403.07</v>
      </c>
      <c r="G33" s="19">
        <v>4326.1499999999996</v>
      </c>
      <c r="H33" s="20">
        <f t="shared" si="0"/>
        <v>1166.7347149145996</v>
      </c>
      <c r="I33" s="20">
        <f t="shared" si="1"/>
        <v>97.227892909549965</v>
      </c>
      <c r="J33" s="1">
        <v>1</v>
      </c>
      <c r="K33" s="19">
        <f t="shared" si="2"/>
        <v>1166.7347149145996</v>
      </c>
      <c r="L33" s="22">
        <v>68</v>
      </c>
      <c r="M33" s="19">
        <f t="shared" si="3"/>
        <v>79337.96061419278</v>
      </c>
      <c r="N33" s="19">
        <f t="shared" si="4"/>
        <v>65416.23084608552</v>
      </c>
      <c r="O33" s="23">
        <f t="shared" si="5"/>
        <v>75.22866547299779</v>
      </c>
      <c r="P33" s="21">
        <f t="shared" si="6"/>
        <v>76.707196689181771</v>
      </c>
      <c r="Q33" s="23">
        <f t="shared" si="7"/>
        <v>6.5745191009248777E-2</v>
      </c>
      <c r="S33" s="21">
        <f t="shared" si="8"/>
        <v>76.707196689181771</v>
      </c>
    </row>
    <row r="34" spans="1:22">
      <c r="A34" s="24" t="s">
        <v>61</v>
      </c>
      <c r="B34" s="16" t="s">
        <v>62</v>
      </c>
      <c r="C34" s="17">
        <v>30.31</v>
      </c>
      <c r="D34" s="18">
        <v>31.59</v>
      </c>
      <c r="E34" s="18"/>
      <c r="F34" s="19">
        <v>10696.73</v>
      </c>
      <c r="G34" s="19">
        <v>20300.03</v>
      </c>
      <c r="H34" s="20">
        <f t="shared" si="0"/>
        <v>995.5202905421022</v>
      </c>
      <c r="I34" s="20">
        <f t="shared" si="1"/>
        <v>82.960024211841855</v>
      </c>
      <c r="J34" s="1">
        <v>4.33</v>
      </c>
      <c r="K34" s="19">
        <f t="shared" si="2"/>
        <v>4310.602858047303</v>
      </c>
      <c r="L34" s="22">
        <v>68</v>
      </c>
      <c r="M34" s="19">
        <f t="shared" si="3"/>
        <v>293120.99434721662</v>
      </c>
      <c r="N34" s="19">
        <f t="shared" si="4"/>
        <v>241685.95315041984</v>
      </c>
      <c r="O34" s="23">
        <f t="shared" si="5"/>
        <v>277.93884612298075</v>
      </c>
      <c r="P34" s="21">
        <f t="shared" si="6"/>
        <v>283.40140826733364</v>
      </c>
      <c r="Q34" s="138">
        <f t="shared" si="7"/>
        <v>6.5745191009248777E-2</v>
      </c>
      <c r="S34" s="21">
        <f t="shared" si="8"/>
        <v>283.40140826733364</v>
      </c>
      <c r="U34" s="21"/>
      <c r="V34" s="21"/>
    </row>
    <row r="35" spans="1:22">
      <c r="A35" s="24" t="s">
        <v>63</v>
      </c>
      <c r="B35" s="16" t="s">
        <v>64</v>
      </c>
      <c r="C35" s="17">
        <v>27.31</v>
      </c>
      <c r="D35" s="18">
        <v>28.59</v>
      </c>
      <c r="E35" s="18"/>
      <c r="F35" s="19">
        <v>1084393.01</v>
      </c>
      <c r="G35" s="19">
        <v>560687.39</v>
      </c>
      <c r="H35" s="20">
        <f t="shared" si="0"/>
        <v>59318.122355876956</v>
      </c>
      <c r="I35" s="20">
        <f t="shared" si="1"/>
        <v>4943.176862989746</v>
      </c>
      <c r="J35" s="1">
        <v>4.33</v>
      </c>
      <c r="K35" s="19">
        <f t="shared" si="2"/>
        <v>256847.46980094723</v>
      </c>
      <c r="L35" s="22">
        <v>68</v>
      </c>
      <c r="M35" s="19">
        <f t="shared" si="3"/>
        <v>17465627.946464412</v>
      </c>
      <c r="N35" s="19">
        <f t="shared" si="4"/>
        <v>14400868.648158448</v>
      </c>
      <c r="O35" s="23">
        <f t="shared" si="5"/>
        <v>16560.998945382093</v>
      </c>
      <c r="P35" s="21">
        <f t="shared" si="6"/>
        <v>16886.485962305531</v>
      </c>
      <c r="Q35" s="23">
        <f t="shared" si="7"/>
        <v>6.5745191009248763E-2</v>
      </c>
      <c r="S35" s="21">
        <f t="shared" si="8"/>
        <v>16886.485962305531</v>
      </c>
    </row>
    <row r="36" spans="1:22">
      <c r="A36" s="24" t="s">
        <v>65</v>
      </c>
      <c r="B36" s="16" t="s">
        <v>66</v>
      </c>
      <c r="C36" s="17">
        <f>C38</f>
        <v>17.579999999999998</v>
      </c>
      <c r="D36" s="18">
        <f>D38</f>
        <v>18.22</v>
      </c>
      <c r="E36" s="18"/>
      <c r="F36" s="19">
        <v>57625.29</v>
      </c>
      <c r="G36" s="19">
        <v>0</v>
      </c>
      <c r="H36" s="20">
        <f t="shared" si="0"/>
        <v>3277.8890784982937</v>
      </c>
      <c r="I36" s="20">
        <f t="shared" si="1"/>
        <v>273.15742320819112</v>
      </c>
      <c r="J36" s="5">
        <v>2.17</v>
      </c>
      <c r="K36" s="19">
        <f t="shared" si="2"/>
        <v>7113.0193003412969</v>
      </c>
      <c r="L36" s="22">
        <v>68</v>
      </c>
      <c r="M36" s="19">
        <f t="shared" si="3"/>
        <v>483685.3124232082</v>
      </c>
      <c r="N36" s="19">
        <f t="shared" si="4"/>
        <v>398811.23499256349</v>
      </c>
      <c r="O36" s="23">
        <f t="shared" si="5"/>
        <v>458.63292024144465</v>
      </c>
      <c r="P36" s="21">
        <f t="shared" si="6"/>
        <v>467.64681255341168</v>
      </c>
      <c r="Q36" s="23">
        <f t="shared" si="7"/>
        <v>6.5745191009248777E-2</v>
      </c>
      <c r="S36" s="21">
        <f t="shared" si="8"/>
        <v>467.64681255341168</v>
      </c>
    </row>
    <row r="37" spans="1:22">
      <c r="A37" s="24" t="s">
        <v>67</v>
      </c>
      <c r="B37" s="16" t="s">
        <v>68</v>
      </c>
      <c r="C37" s="17">
        <v>20.58</v>
      </c>
      <c r="D37" s="18">
        <v>21.22</v>
      </c>
      <c r="E37" s="18"/>
      <c r="F37" s="19">
        <v>2819.46</v>
      </c>
      <c r="G37" s="19">
        <v>1453.57</v>
      </c>
      <c r="H37" s="20">
        <f t="shared" si="0"/>
        <v>205.5</v>
      </c>
      <c r="I37" s="20">
        <f t="shared" si="1"/>
        <v>17.125</v>
      </c>
      <c r="J37" s="5">
        <v>2.17</v>
      </c>
      <c r="K37" s="19">
        <f t="shared" si="2"/>
        <v>445.935</v>
      </c>
      <c r="L37" s="22">
        <v>68</v>
      </c>
      <c r="M37" s="19">
        <f t="shared" si="3"/>
        <v>30323.58</v>
      </c>
      <c r="N37" s="19">
        <f t="shared" si="4"/>
        <v>25002.587588631384</v>
      </c>
      <c r="O37" s="23">
        <f t="shared" si="5"/>
        <v>28.752975726925879</v>
      </c>
      <c r="P37" s="21">
        <f t="shared" si="6"/>
        <v>29.318081752709354</v>
      </c>
      <c r="Q37" s="23">
        <f t="shared" si="7"/>
        <v>6.5745191009248777E-2</v>
      </c>
      <c r="S37" s="21">
        <f t="shared" si="8"/>
        <v>29.318081752709354</v>
      </c>
    </row>
    <row r="38" spans="1:22">
      <c r="A38" s="24" t="s">
        <v>69</v>
      </c>
      <c r="B38" s="16" t="s">
        <v>70</v>
      </c>
      <c r="C38" s="17">
        <v>17.579999999999998</v>
      </c>
      <c r="D38" s="18">
        <v>18.22</v>
      </c>
      <c r="E38" s="18"/>
      <c r="F38" s="19">
        <v>33511.199999999997</v>
      </c>
      <c r="G38" s="19">
        <v>50057.89</v>
      </c>
      <c r="H38" s="20">
        <f t="shared" si="0"/>
        <v>4653.6259838979786</v>
      </c>
      <c r="I38" s="20">
        <f t="shared" si="1"/>
        <v>387.80216532483155</v>
      </c>
      <c r="J38" s="5">
        <v>2.17</v>
      </c>
      <c r="K38" s="19">
        <f t="shared" si="2"/>
        <v>10098.368385058613</v>
      </c>
      <c r="L38" s="22">
        <v>68</v>
      </c>
      <c r="M38" s="19">
        <f t="shared" si="3"/>
        <v>686689.05018398573</v>
      </c>
      <c r="N38" s="19">
        <f t="shared" si="4"/>
        <v>566193.14485226339</v>
      </c>
      <c r="O38" s="23">
        <f t="shared" si="5"/>
        <v>651.12211658009812</v>
      </c>
      <c r="P38" s="21">
        <f t="shared" si="6"/>
        <v>663.91915835743771</v>
      </c>
      <c r="Q38" s="23">
        <f t="shared" si="7"/>
        <v>6.5745191009248791E-2</v>
      </c>
      <c r="S38" s="21">
        <f t="shared" si="8"/>
        <v>663.91915835743771</v>
      </c>
    </row>
    <row r="39" spans="1:22">
      <c r="A39" s="24" t="s">
        <v>71</v>
      </c>
      <c r="B39" s="16" t="s">
        <v>72</v>
      </c>
      <c r="C39" s="17">
        <v>3.46</v>
      </c>
      <c r="D39" s="18">
        <v>3.61</v>
      </c>
      <c r="E39" s="18"/>
      <c r="F39" s="19">
        <v>359.84</v>
      </c>
      <c r="G39" s="19">
        <v>0</v>
      </c>
      <c r="H39" s="20">
        <f t="shared" si="0"/>
        <v>104</v>
      </c>
      <c r="I39" s="20">
        <f t="shared" si="1"/>
        <v>8.6666666666666661</v>
      </c>
      <c r="J39" s="1">
        <v>1</v>
      </c>
      <c r="K39" s="19">
        <f t="shared" si="2"/>
        <v>104</v>
      </c>
      <c r="L39" s="22">
        <v>125</v>
      </c>
      <c r="M39" s="19">
        <f t="shared" si="3"/>
        <v>13000</v>
      </c>
      <c r="N39" s="19">
        <f t="shared" si="4"/>
        <v>10718.841200551122</v>
      </c>
      <c r="O39" s="23">
        <f t="shared" si="5"/>
        <v>12.326667380633699</v>
      </c>
      <c r="P39" s="21">
        <f t="shared" si="6"/>
        <v>12.56893357529756</v>
      </c>
      <c r="Q39" s="23">
        <f t="shared" si="7"/>
        <v>0.12085513053170731</v>
      </c>
      <c r="S39" s="21">
        <f t="shared" si="8"/>
        <v>12.56893357529756</v>
      </c>
    </row>
    <row r="40" spans="1:22">
      <c r="A40" s="24" t="s">
        <v>73</v>
      </c>
      <c r="B40" s="16" t="s">
        <v>74</v>
      </c>
      <c r="C40" s="17">
        <v>3.5</v>
      </c>
      <c r="D40" s="18">
        <v>3.5</v>
      </c>
      <c r="E40" s="18"/>
      <c r="F40" s="19">
        <v>829.5</v>
      </c>
      <c r="G40" s="19">
        <v>752.5</v>
      </c>
      <c r="H40" s="20">
        <f t="shared" si="0"/>
        <v>452</v>
      </c>
      <c r="I40" s="20">
        <f t="shared" si="1"/>
        <v>37.666666666666664</v>
      </c>
      <c r="K40" s="19"/>
      <c r="L40" s="22"/>
    </row>
    <row r="41" spans="1:22">
      <c r="A41" s="24" t="s">
        <v>75</v>
      </c>
      <c r="B41" s="16" t="s">
        <v>76</v>
      </c>
      <c r="C41" s="17">
        <v>3.46</v>
      </c>
      <c r="D41" s="18">
        <v>3.61</v>
      </c>
      <c r="E41" s="18"/>
      <c r="F41" s="19">
        <f>69859.04+685</f>
        <v>70544.039999999994</v>
      </c>
      <c r="G41" s="19">
        <f>26840.46+170</f>
        <v>27010.46</v>
      </c>
      <c r="H41" s="20">
        <f t="shared" si="0"/>
        <v>27870.572750708532</v>
      </c>
      <c r="I41" s="20">
        <f t="shared" si="1"/>
        <v>2322.547729225711</v>
      </c>
      <c r="J41" s="1">
        <v>1</v>
      </c>
      <c r="K41" s="19">
        <f t="shared" si="2"/>
        <v>27870.572750708532</v>
      </c>
      <c r="L41" s="22">
        <v>34</v>
      </c>
      <c r="M41" s="19">
        <f t="shared" ref="M41:M49" si="9">K41*L41</f>
        <v>947599.47352409014</v>
      </c>
      <c r="N41" s="19">
        <f t="shared" si="4"/>
        <v>781320.63680235145</v>
      </c>
      <c r="O41" s="23">
        <f t="shared" si="5"/>
        <v>898.51873232269759</v>
      </c>
      <c r="P41" s="21">
        <f t="shared" si="6"/>
        <v>916.17806451624836</v>
      </c>
      <c r="Q41" s="23">
        <f t="shared" si="7"/>
        <v>3.2872595504624388E-2</v>
      </c>
      <c r="S41" s="21">
        <f t="shared" si="8"/>
        <v>916.17806451624824</v>
      </c>
    </row>
    <row r="42" spans="1:22">
      <c r="A42" s="24" t="s">
        <v>77</v>
      </c>
      <c r="B42" s="16" t="s">
        <v>78</v>
      </c>
      <c r="C42" s="17">
        <v>27.26</v>
      </c>
      <c r="D42" s="18">
        <v>28.03</v>
      </c>
      <c r="E42" s="18"/>
      <c r="F42" s="19">
        <v>136.30000000000001</v>
      </c>
      <c r="G42" s="19">
        <v>0</v>
      </c>
      <c r="H42" s="20">
        <f t="shared" si="0"/>
        <v>5</v>
      </c>
      <c r="I42" s="20">
        <f t="shared" si="1"/>
        <v>0.41666666666666669</v>
      </c>
      <c r="J42" s="1">
        <v>1</v>
      </c>
      <c r="K42" s="19">
        <f t="shared" si="2"/>
        <v>5</v>
      </c>
      <c r="L42" s="22">
        <v>125</v>
      </c>
      <c r="M42" s="19">
        <f t="shared" si="9"/>
        <v>625</v>
      </c>
      <c r="N42" s="19">
        <f t="shared" si="4"/>
        <v>515.32890387265013</v>
      </c>
      <c r="O42" s="23">
        <f t="shared" si="5"/>
        <v>0.59262823945354326</v>
      </c>
      <c r="P42" s="21">
        <f t="shared" si="6"/>
        <v>0.60427565265853656</v>
      </c>
      <c r="Q42" s="23">
        <f t="shared" si="7"/>
        <v>0.12085513053170731</v>
      </c>
      <c r="S42" s="21">
        <f t="shared" si="8"/>
        <v>0.60427565265853656</v>
      </c>
    </row>
    <row r="43" spans="1:22">
      <c r="A43" s="24" t="s">
        <v>79</v>
      </c>
      <c r="B43" s="16" t="s">
        <v>80</v>
      </c>
      <c r="C43" s="17">
        <v>6.56</v>
      </c>
      <c r="D43" s="18">
        <v>6.71</v>
      </c>
      <c r="E43" s="18"/>
      <c r="F43" s="19">
        <f>1731.09+13</f>
        <v>1744.09</v>
      </c>
      <c r="G43" s="19">
        <v>912.71</v>
      </c>
      <c r="H43" s="20">
        <f t="shared" si="0"/>
        <v>401.88973274326634</v>
      </c>
      <c r="I43" s="20">
        <f t="shared" si="1"/>
        <v>33.490811061938864</v>
      </c>
      <c r="J43" s="1">
        <v>1</v>
      </c>
      <c r="K43" s="19">
        <f t="shared" si="2"/>
        <v>401.88973274326634</v>
      </c>
      <c r="L43" s="22">
        <v>34</v>
      </c>
      <c r="M43" s="19">
        <f t="shared" si="9"/>
        <v>13664.250913271055</v>
      </c>
      <c r="N43" s="19">
        <f t="shared" si="4"/>
        <v>11266.533512602929</v>
      </c>
      <c r="O43" s="23">
        <f t="shared" si="5"/>
        <v>12.956513539493274</v>
      </c>
      <c r="P43" s="21">
        <f t="shared" si="6"/>
        <v>13.211158621930995</v>
      </c>
      <c r="Q43" s="23">
        <f t="shared" si="7"/>
        <v>3.2872595504624388E-2</v>
      </c>
      <c r="S43" s="21">
        <f t="shared" si="8"/>
        <v>13.211158621930993</v>
      </c>
    </row>
    <row r="44" spans="1:22">
      <c r="A44" s="24" t="s">
        <v>81</v>
      </c>
      <c r="B44" s="16" t="s">
        <v>82</v>
      </c>
      <c r="C44" s="17">
        <v>6.56</v>
      </c>
      <c r="D44" s="18">
        <v>6.71</v>
      </c>
      <c r="E44" s="18"/>
      <c r="F44" s="19">
        <v>1040</v>
      </c>
      <c r="G44" s="19">
        <v>657.79</v>
      </c>
      <c r="H44" s="20">
        <f t="shared" si="0"/>
        <v>256.56788193813384</v>
      </c>
      <c r="I44" s="20">
        <f t="shared" si="1"/>
        <v>21.38065682817782</v>
      </c>
      <c r="J44" s="1">
        <v>1</v>
      </c>
      <c r="K44" s="19">
        <f t="shared" si="2"/>
        <v>256.56788193813384</v>
      </c>
      <c r="L44" s="22">
        <v>34</v>
      </c>
      <c r="M44" s="19">
        <f t="shared" si="9"/>
        <v>8723.3079858965502</v>
      </c>
      <c r="N44" s="19">
        <f t="shared" si="4"/>
        <v>7192.5963880249665</v>
      </c>
      <c r="O44" s="23">
        <f t="shared" si="5"/>
        <v>8.27148584622865</v>
      </c>
      <c r="P44" s="21">
        <f t="shared" si="6"/>
        <v>8.4340522024304985</v>
      </c>
      <c r="Q44" s="23">
        <f t="shared" si="7"/>
        <v>3.2872595504624388E-2</v>
      </c>
      <c r="S44" s="21">
        <f t="shared" si="8"/>
        <v>8.4340522024304985</v>
      </c>
    </row>
    <row r="45" spans="1:22" s="5" customFormat="1">
      <c r="A45" s="24" t="s">
        <v>83</v>
      </c>
      <c r="B45" s="24" t="s">
        <v>84</v>
      </c>
      <c r="C45" s="25">
        <v>11.04</v>
      </c>
      <c r="D45" s="18">
        <v>11.19</v>
      </c>
      <c r="E45" s="18"/>
      <c r="F45" s="20">
        <v>22.08</v>
      </c>
      <c r="G45" s="20">
        <v>0</v>
      </c>
      <c r="H45" s="20">
        <f t="shared" si="0"/>
        <v>2</v>
      </c>
      <c r="I45" s="20">
        <f t="shared" si="1"/>
        <v>0.16666666666666666</v>
      </c>
      <c r="J45" s="1">
        <v>1</v>
      </c>
      <c r="K45" s="19">
        <f t="shared" si="2"/>
        <v>2</v>
      </c>
      <c r="L45" s="22">
        <v>34</v>
      </c>
      <c r="M45" s="19">
        <f t="shared" si="9"/>
        <v>68</v>
      </c>
      <c r="N45" s="19">
        <f t="shared" si="4"/>
        <v>56.067784741344333</v>
      </c>
      <c r="O45" s="23">
        <f t="shared" si="5"/>
        <v>6.4477952452545506E-2</v>
      </c>
      <c r="P45" s="21">
        <f t="shared" si="6"/>
        <v>6.5745191009248777E-2</v>
      </c>
      <c r="Q45" s="23">
        <f t="shared" si="7"/>
        <v>3.2872595504624388E-2</v>
      </c>
      <c r="S45" s="21">
        <f t="shared" si="8"/>
        <v>6.5745191009248777E-2</v>
      </c>
    </row>
    <row r="46" spans="1:22" s="5" customFormat="1">
      <c r="A46" s="24" t="s">
        <v>85</v>
      </c>
      <c r="B46" s="24" t="s">
        <v>86</v>
      </c>
      <c r="C46" s="25">
        <v>14.49</v>
      </c>
      <c r="D46" s="18">
        <v>14.8</v>
      </c>
      <c r="E46" s="18"/>
      <c r="F46" s="20">
        <v>2550.2399999999998</v>
      </c>
      <c r="G46" s="20">
        <v>967.54</v>
      </c>
      <c r="H46" s="20">
        <f t="shared" si="0"/>
        <v>241.37432432432428</v>
      </c>
      <c r="I46" s="20">
        <f t="shared" si="1"/>
        <v>20.114527027027023</v>
      </c>
      <c r="J46" s="1">
        <v>1</v>
      </c>
      <c r="K46" s="19">
        <f t="shared" si="2"/>
        <v>241.37432432432428</v>
      </c>
      <c r="L46" s="22">
        <v>47</v>
      </c>
      <c r="M46" s="19">
        <f t="shared" si="9"/>
        <v>11344.593243243242</v>
      </c>
      <c r="N46" s="19">
        <f t="shared" si="4"/>
        <v>9353.9148814745804</v>
      </c>
      <c r="O46" s="23">
        <f t="shared" si="5"/>
        <v>10.757002113695687</v>
      </c>
      <c r="P46" s="21">
        <f t="shared" si="6"/>
        <v>10.968418377930295</v>
      </c>
      <c r="Q46" s="23">
        <f t="shared" si="7"/>
        <v>4.5441529079921952E-2</v>
      </c>
      <c r="S46" s="21">
        <f t="shared" si="8"/>
        <v>10.968418377930295</v>
      </c>
    </row>
    <row r="47" spans="1:22" s="5" customFormat="1">
      <c r="A47" s="24" t="s">
        <v>87</v>
      </c>
      <c r="B47" s="24" t="s">
        <v>88</v>
      </c>
      <c r="C47" s="25">
        <v>17.940000000000001</v>
      </c>
      <c r="D47" s="18">
        <v>18.41</v>
      </c>
      <c r="E47" s="18"/>
      <c r="F47" s="20">
        <v>1919.58</v>
      </c>
      <c r="G47" s="20">
        <v>992.08</v>
      </c>
      <c r="H47" s="20">
        <f t="shared" si="0"/>
        <v>160.88810429114611</v>
      </c>
      <c r="I47" s="20">
        <f t="shared" si="1"/>
        <v>13.407342024262176</v>
      </c>
      <c r="J47" s="1">
        <v>1</v>
      </c>
      <c r="K47" s="19">
        <f t="shared" si="2"/>
        <v>160.88810429114611</v>
      </c>
      <c r="L47" s="22">
        <v>68</v>
      </c>
      <c r="M47" s="19">
        <f t="shared" si="9"/>
        <v>10940.391091797936</v>
      </c>
      <c r="N47" s="19">
        <f t="shared" si="4"/>
        <v>9020.6395988389377</v>
      </c>
      <c r="O47" s="23">
        <f t="shared" si="5"/>
        <v>10.373735538664702</v>
      </c>
      <c r="P47" s="21">
        <f t="shared" si="6"/>
        <v>10.577619147737339</v>
      </c>
      <c r="Q47" s="23">
        <f t="shared" si="7"/>
        <v>6.5745191009248777E-2</v>
      </c>
      <c r="S47" s="21">
        <f t="shared" si="8"/>
        <v>10.577619147737339</v>
      </c>
    </row>
    <row r="48" spans="1:22" s="5" customFormat="1">
      <c r="A48" s="24" t="s">
        <v>89</v>
      </c>
      <c r="B48" s="24" t="s">
        <v>90</v>
      </c>
      <c r="C48" s="25">
        <f>C46</f>
        <v>14.49</v>
      </c>
      <c r="D48" s="18">
        <f>D46</f>
        <v>14.8</v>
      </c>
      <c r="E48" s="18"/>
      <c r="F48" s="20">
        <v>57.96</v>
      </c>
      <c r="G48" s="20">
        <v>0</v>
      </c>
      <c r="H48" s="20">
        <f t="shared" si="0"/>
        <v>4</v>
      </c>
      <c r="I48" s="20">
        <f t="shared" si="1"/>
        <v>0.33333333333333331</v>
      </c>
      <c r="J48" s="1">
        <v>1</v>
      </c>
      <c r="K48" s="19">
        <f t="shared" si="2"/>
        <v>4</v>
      </c>
      <c r="L48" s="22">
        <v>47</v>
      </c>
      <c r="M48" s="19">
        <f t="shared" si="9"/>
        <v>188</v>
      </c>
      <c r="N48" s="19">
        <f t="shared" si="4"/>
        <v>155.01093428489315</v>
      </c>
      <c r="O48" s="23">
        <f t="shared" si="5"/>
        <v>0.1782625744276258</v>
      </c>
      <c r="P48" s="21">
        <f t="shared" si="6"/>
        <v>0.18176611631968778</v>
      </c>
      <c r="Q48" s="23">
        <f t="shared" si="7"/>
        <v>4.5441529079921945E-2</v>
      </c>
      <c r="S48" s="21">
        <f t="shared" si="8"/>
        <v>0.18176611631968778</v>
      </c>
    </row>
    <row r="49" spans="1:19" s="5" customFormat="1">
      <c r="A49" s="24" t="s">
        <v>91</v>
      </c>
      <c r="B49" s="24" t="s">
        <v>92</v>
      </c>
      <c r="C49" s="25">
        <f>C47</f>
        <v>17.940000000000001</v>
      </c>
      <c r="D49" s="18">
        <f>D47</f>
        <v>18.41</v>
      </c>
      <c r="E49" s="18"/>
      <c r="F49" s="20">
        <v>39.380000000000003</v>
      </c>
      <c r="G49" s="20">
        <v>0</v>
      </c>
      <c r="H49" s="20">
        <f t="shared" si="0"/>
        <v>2.1950947603121516</v>
      </c>
      <c r="I49" s="20">
        <f t="shared" si="1"/>
        <v>0.18292456335934595</v>
      </c>
      <c r="J49" s="1">
        <v>1</v>
      </c>
      <c r="K49" s="19">
        <f t="shared" si="2"/>
        <v>2.1950947603121516</v>
      </c>
      <c r="L49" s="22">
        <v>68</v>
      </c>
      <c r="M49" s="19">
        <f t="shared" si="9"/>
        <v>149.26644370122631</v>
      </c>
      <c r="N49" s="19">
        <f t="shared" si="4"/>
        <v>123.07410050803455</v>
      </c>
      <c r="O49" s="23">
        <f t="shared" si="5"/>
        <v>0.14153521558423868</v>
      </c>
      <c r="P49" s="21">
        <f t="shared" si="6"/>
        <v>0.14431692430012358</v>
      </c>
      <c r="Q49" s="23">
        <f t="shared" si="7"/>
        <v>6.5745191009248777E-2</v>
      </c>
      <c r="S49" s="21">
        <f t="shared" si="8"/>
        <v>0.14431692430012358</v>
      </c>
    </row>
    <row r="50" spans="1:19" s="5" customFormat="1">
      <c r="A50" s="24" t="s">
        <v>93</v>
      </c>
      <c r="B50" s="24" t="s">
        <v>94</v>
      </c>
      <c r="C50" s="25">
        <v>11.04</v>
      </c>
      <c r="D50" s="18">
        <v>11.19</v>
      </c>
      <c r="E50" s="18"/>
      <c r="F50" s="20">
        <v>17.989999999999998</v>
      </c>
      <c r="G50" s="20">
        <v>0</v>
      </c>
      <c r="H50" s="20">
        <f t="shared" si="0"/>
        <v>1.6295289855072463</v>
      </c>
      <c r="I50" s="20">
        <f t="shared" si="1"/>
        <v>0.13579408212560387</v>
      </c>
      <c r="J50" s="1"/>
      <c r="K50" s="19"/>
      <c r="L50" s="22"/>
    </row>
    <row r="51" spans="1:19" s="5" customFormat="1">
      <c r="A51" s="24" t="s">
        <v>95</v>
      </c>
      <c r="B51" s="24" t="s">
        <v>96</v>
      </c>
      <c r="C51" s="25">
        <v>11.04</v>
      </c>
      <c r="D51" s="18">
        <v>11.19</v>
      </c>
      <c r="E51" s="18"/>
      <c r="F51" s="20">
        <v>22.08</v>
      </c>
      <c r="G51" s="20">
        <v>17.940000000000001</v>
      </c>
      <c r="H51" s="20">
        <f t="shared" si="0"/>
        <v>3.6032171581769439</v>
      </c>
      <c r="I51" s="20">
        <f t="shared" si="1"/>
        <v>0.30026809651474534</v>
      </c>
      <c r="K51" s="18"/>
      <c r="L51" s="22"/>
    </row>
    <row r="52" spans="1:19">
      <c r="A52" s="24" t="s">
        <v>97</v>
      </c>
      <c r="B52" s="16" t="s">
        <v>98</v>
      </c>
      <c r="C52" s="17">
        <f t="shared" ref="C52:C60" si="10">D52</f>
        <v>1.95</v>
      </c>
      <c r="D52" s="18">
        <v>1.95</v>
      </c>
      <c r="E52" s="18"/>
      <c r="F52" s="19">
        <v>563.02</v>
      </c>
      <c r="G52" s="19">
        <v>289.58999999999997</v>
      </c>
      <c r="H52" s="20">
        <f t="shared" si="0"/>
        <v>437.23589743589741</v>
      </c>
      <c r="I52" s="20">
        <f t="shared" si="1"/>
        <v>36.436324786324782</v>
      </c>
      <c r="K52" s="23"/>
      <c r="L52" s="22"/>
    </row>
    <row r="53" spans="1:19">
      <c r="A53" s="24" t="s">
        <v>99</v>
      </c>
      <c r="B53" s="16" t="s">
        <v>100</v>
      </c>
      <c r="C53" s="17">
        <f t="shared" si="10"/>
        <v>3.2</v>
      </c>
      <c r="D53" s="18">
        <f>D52+1.25</f>
        <v>3.2</v>
      </c>
      <c r="E53" s="18"/>
      <c r="F53" s="19">
        <v>153.6</v>
      </c>
      <c r="G53" s="19">
        <v>64</v>
      </c>
      <c r="H53" s="20">
        <f t="shared" si="0"/>
        <v>68</v>
      </c>
      <c r="I53" s="20">
        <f t="shared" si="1"/>
        <v>5.666666666666667</v>
      </c>
      <c r="K53" s="23"/>
      <c r="L53" s="22"/>
      <c r="M53" s="18"/>
      <c r="N53" s="18"/>
    </row>
    <row r="54" spans="1:19">
      <c r="A54" s="24" t="s">
        <v>101</v>
      </c>
      <c r="B54" s="16" t="s">
        <v>102</v>
      </c>
      <c r="C54" s="17">
        <f t="shared" si="10"/>
        <v>4.45</v>
      </c>
      <c r="D54" s="18">
        <f>D53+1.25</f>
        <v>4.45</v>
      </c>
      <c r="E54" s="18"/>
      <c r="F54" s="19">
        <v>2.97</v>
      </c>
      <c r="G54" s="19">
        <v>0</v>
      </c>
      <c r="H54" s="20">
        <f t="shared" si="0"/>
        <v>0.66741573033707868</v>
      </c>
      <c r="I54" s="20">
        <f t="shared" si="1"/>
        <v>5.561797752808989E-2</v>
      </c>
      <c r="K54" s="23"/>
      <c r="L54" s="22"/>
    </row>
    <row r="55" spans="1:19">
      <c r="A55" s="24" t="s">
        <v>103</v>
      </c>
      <c r="B55" s="16" t="s">
        <v>104</v>
      </c>
      <c r="C55" s="17">
        <f t="shared" si="10"/>
        <v>5.7</v>
      </c>
      <c r="D55" s="18">
        <f>D54+1.25</f>
        <v>5.7</v>
      </c>
      <c r="E55" s="18"/>
      <c r="F55" s="19">
        <v>45.84</v>
      </c>
      <c r="G55" s="19">
        <v>0</v>
      </c>
      <c r="H55" s="20">
        <f t="shared" si="0"/>
        <v>8.0421052631578949</v>
      </c>
      <c r="I55" s="20">
        <f t="shared" si="1"/>
        <v>0.6701754385964912</v>
      </c>
      <c r="K55" s="23"/>
      <c r="L55" s="22"/>
    </row>
    <row r="56" spans="1:19">
      <c r="A56" s="24" t="s">
        <v>105</v>
      </c>
      <c r="B56" s="16" t="s">
        <v>106</v>
      </c>
      <c r="C56" s="17">
        <f t="shared" si="10"/>
        <v>6.95</v>
      </c>
      <c r="D56" s="18">
        <f>D55+1.25</f>
        <v>6.95</v>
      </c>
      <c r="E56" s="18"/>
      <c r="F56" s="19">
        <v>17.37</v>
      </c>
      <c r="G56" s="19">
        <v>0</v>
      </c>
      <c r="H56" s="20">
        <f t="shared" si="0"/>
        <v>2.4992805755395686</v>
      </c>
      <c r="I56" s="20">
        <f t="shared" si="1"/>
        <v>0.20827338129496406</v>
      </c>
      <c r="K56" s="23"/>
      <c r="L56" s="22"/>
    </row>
    <row r="57" spans="1:19" s="5" customFormat="1">
      <c r="A57" s="24" t="s">
        <v>107</v>
      </c>
      <c r="B57" s="24" t="s">
        <v>108</v>
      </c>
      <c r="C57" s="25">
        <f t="shared" si="10"/>
        <v>11.95</v>
      </c>
      <c r="D57" s="18">
        <f>D52+(1.25*8)</f>
        <v>11.95</v>
      </c>
      <c r="E57" s="18"/>
      <c r="F57" s="20">
        <v>95.6</v>
      </c>
      <c r="G57" s="20">
        <v>47.8</v>
      </c>
      <c r="H57" s="20">
        <f t="shared" si="0"/>
        <v>12</v>
      </c>
      <c r="I57" s="20">
        <f t="shared" si="1"/>
        <v>1</v>
      </c>
      <c r="K57" s="18"/>
      <c r="L57" s="22"/>
      <c r="N57" s="18"/>
    </row>
    <row r="58" spans="1:19" s="5" customFormat="1">
      <c r="A58" s="24" t="s">
        <v>109</v>
      </c>
      <c r="B58" s="24" t="s">
        <v>110</v>
      </c>
      <c r="C58" s="25">
        <f t="shared" si="10"/>
        <v>8</v>
      </c>
      <c r="D58" s="18">
        <f>6.65+1.35</f>
        <v>8</v>
      </c>
      <c r="E58" s="18"/>
      <c r="F58" s="20">
        <v>56</v>
      </c>
      <c r="G58" s="20">
        <v>32</v>
      </c>
      <c r="H58" s="20">
        <f t="shared" si="0"/>
        <v>11</v>
      </c>
      <c r="I58" s="20">
        <f t="shared" si="1"/>
        <v>0.91666666666666663</v>
      </c>
      <c r="K58" s="18"/>
      <c r="L58" s="22"/>
      <c r="M58" s="26"/>
    </row>
    <row r="59" spans="1:19">
      <c r="A59" s="24" t="s">
        <v>111</v>
      </c>
      <c r="B59" s="16" t="s">
        <v>112</v>
      </c>
      <c r="C59" s="17">
        <f t="shared" si="10"/>
        <v>6.65</v>
      </c>
      <c r="D59" s="18">
        <v>6.65</v>
      </c>
      <c r="E59" s="18"/>
      <c r="F59" s="19">
        <f>7139.14+28</f>
        <v>7167.14</v>
      </c>
      <c r="G59" s="19">
        <f>3673.2+13</f>
        <v>3686.2</v>
      </c>
      <c r="H59" s="20">
        <f t="shared" si="0"/>
        <v>1632.0812030075188</v>
      </c>
      <c r="I59" s="20">
        <f t="shared" si="1"/>
        <v>136.00676691729322</v>
      </c>
      <c r="K59" s="23"/>
      <c r="L59" s="22"/>
    </row>
    <row r="60" spans="1:19">
      <c r="A60" s="24" t="s">
        <v>113</v>
      </c>
      <c r="B60" s="16" t="s">
        <v>114</v>
      </c>
      <c r="C60" s="17">
        <f t="shared" si="10"/>
        <v>4.5</v>
      </c>
      <c r="D60" s="18">
        <v>4.5</v>
      </c>
      <c r="E60" s="18"/>
      <c r="F60" s="19">
        <v>195.5</v>
      </c>
      <c r="G60" s="19">
        <v>90</v>
      </c>
      <c r="H60" s="20">
        <f t="shared" si="0"/>
        <v>63.444444444444443</v>
      </c>
      <c r="I60" s="20">
        <f t="shared" si="1"/>
        <v>5.2870370370370372</v>
      </c>
      <c r="K60" s="23"/>
      <c r="L60" s="22"/>
    </row>
    <row r="61" spans="1:19">
      <c r="A61" s="24" t="s">
        <v>115</v>
      </c>
      <c r="B61" s="16" t="s">
        <v>116</v>
      </c>
      <c r="C61" s="17">
        <v>30</v>
      </c>
      <c r="D61" s="18">
        <v>30</v>
      </c>
      <c r="E61" s="18"/>
      <c r="F61" s="19">
        <v>30</v>
      </c>
      <c r="G61" s="19">
        <v>0</v>
      </c>
      <c r="H61" s="20">
        <f t="shared" si="0"/>
        <v>1</v>
      </c>
      <c r="I61" s="20">
        <f t="shared" si="1"/>
        <v>8.3333333333333329E-2</v>
      </c>
      <c r="K61" s="23"/>
      <c r="L61" s="22"/>
    </row>
    <row r="62" spans="1:19">
      <c r="A62" s="24" t="s">
        <v>117</v>
      </c>
      <c r="B62" s="16" t="s">
        <v>118</v>
      </c>
      <c r="C62" s="17">
        <v>4.1100000000000003</v>
      </c>
      <c r="D62" s="18">
        <v>4.26</v>
      </c>
      <c r="E62" s="18"/>
      <c r="F62" s="19">
        <v>304.14</v>
      </c>
      <c r="G62" s="19">
        <v>117.15</v>
      </c>
      <c r="H62" s="20">
        <f t="shared" si="0"/>
        <v>101.49999999999999</v>
      </c>
      <c r="I62" s="20">
        <f t="shared" si="1"/>
        <v>8.4583333333333321</v>
      </c>
      <c r="J62" s="1">
        <v>1</v>
      </c>
      <c r="K62" s="19">
        <f t="shared" ref="K62:K64" si="11">H62*J62</f>
        <v>101.49999999999999</v>
      </c>
      <c r="L62" s="22">
        <v>34</v>
      </c>
      <c r="M62" s="19">
        <f>K62*L62</f>
        <v>3450.9999999999995</v>
      </c>
      <c r="N62" s="19">
        <f t="shared" ref="N62" si="12">M62*$M$199</f>
        <v>2845.4400756232244</v>
      </c>
      <c r="O62" s="23">
        <f t="shared" ref="O62" si="13">N62*$O$5</f>
        <v>3.2722560869666841</v>
      </c>
      <c r="P62" s="21">
        <f t="shared" ref="P62" si="14">O62/$P$5</f>
        <v>3.3365684437193752</v>
      </c>
      <c r="Q62" s="23">
        <f t="shared" ref="Q62" si="15">P62/K62</f>
        <v>3.2872595504624388E-2</v>
      </c>
      <c r="S62" s="21">
        <f t="shared" ref="S62" si="16">H62*J62*Q62</f>
        <v>3.3365684437193748</v>
      </c>
    </row>
    <row r="63" spans="1:19">
      <c r="A63" s="24" t="s">
        <v>119</v>
      </c>
      <c r="B63" s="24" t="s">
        <v>120</v>
      </c>
      <c r="C63" s="17">
        <v>10</v>
      </c>
      <c r="D63" s="18">
        <v>10</v>
      </c>
      <c r="E63" s="18"/>
      <c r="F63" s="19">
        <v>20</v>
      </c>
      <c r="G63" s="19">
        <v>0</v>
      </c>
      <c r="H63" s="20">
        <f t="shared" si="0"/>
        <v>2</v>
      </c>
      <c r="I63" s="20">
        <f t="shared" si="1"/>
        <v>0.16666666666666666</v>
      </c>
      <c r="K63" s="23"/>
      <c r="L63" s="22"/>
    </row>
    <row r="64" spans="1:19">
      <c r="A64" s="24" t="s">
        <v>121</v>
      </c>
      <c r="B64" s="16" t="s">
        <v>122</v>
      </c>
      <c r="C64" s="17">
        <v>5.81</v>
      </c>
      <c r="D64" s="18">
        <v>5.96</v>
      </c>
      <c r="E64" s="18"/>
      <c r="F64" s="19">
        <v>3711.78</v>
      </c>
      <c r="G64" s="19">
        <v>1655.68</v>
      </c>
      <c r="H64" s="20">
        <f t="shared" si="0"/>
        <v>916.65924291605552</v>
      </c>
      <c r="I64" s="20">
        <f t="shared" si="1"/>
        <v>76.388270243004627</v>
      </c>
      <c r="J64" s="1">
        <v>1</v>
      </c>
      <c r="K64" s="19">
        <f t="shared" si="11"/>
        <v>916.65924291605552</v>
      </c>
      <c r="L64" s="22">
        <v>34</v>
      </c>
      <c r="M64" s="19">
        <f>K64*L64</f>
        <v>31166.414259145888</v>
      </c>
      <c r="N64" s="19">
        <f t="shared" ref="N64" si="17">M64*$M$199</f>
        <v>25697.526556490531</v>
      </c>
      <c r="O64" s="23">
        <f t="shared" ref="O64" si="18">N64*$O$5</f>
        <v>29.552155539963891</v>
      </c>
      <c r="P64" s="21">
        <f t="shared" ref="P64" si="19">O64/$P$5</f>
        <v>30.132968507954718</v>
      </c>
      <c r="Q64" s="23">
        <f t="shared" ref="Q64" si="20">P64/K64</f>
        <v>3.2872595504624381E-2</v>
      </c>
      <c r="S64" s="21">
        <f t="shared" ref="S64" si="21">H64*J64*Q64</f>
        <v>30.132968507954715</v>
      </c>
    </row>
    <row r="65" spans="1:19">
      <c r="A65" s="24" t="s">
        <v>123</v>
      </c>
      <c r="B65" s="16" t="s">
        <v>124</v>
      </c>
      <c r="C65" s="17">
        <f t="shared" ref="C65:C70" si="22">D65</f>
        <v>13</v>
      </c>
      <c r="D65" s="18">
        <v>13</v>
      </c>
      <c r="E65" s="18"/>
      <c r="F65" s="19">
        <v>286</v>
      </c>
      <c r="G65" s="19">
        <v>1570</v>
      </c>
      <c r="H65" s="20">
        <f t="shared" si="0"/>
        <v>142.76923076923077</v>
      </c>
      <c r="I65" s="20">
        <f>IF(D65="","",H65/12)</f>
        <v>11.897435897435898</v>
      </c>
      <c r="K65" s="19"/>
      <c r="L65" s="22"/>
      <c r="M65" s="19"/>
    </row>
    <row r="66" spans="1:19">
      <c r="A66" s="24" t="s">
        <v>125</v>
      </c>
      <c r="B66" s="16" t="s">
        <v>126</v>
      </c>
      <c r="C66" s="17">
        <f t="shared" si="22"/>
        <v>12</v>
      </c>
      <c r="D66" s="18">
        <v>12</v>
      </c>
      <c r="E66" s="18"/>
      <c r="F66" s="19">
        <f>63896.5+168</f>
        <v>64064.5</v>
      </c>
      <c r="G66" s="19">
        <f>24291.58+60</f>
        <v>24351.58</v>
      </c>
      <c r="H66" s="20">
        <f t="shared" si="0"/>
        <v>7368.0066666666662</v>
      </c>
      <c r="I66" s="20">
        <f t="shared" si="1"/>
        <v>614.00055555555548</v>
      </c>
      <c r="K66" s="23"/>
      <c r="L66" s="22"/>
    </row>
    <row r="67" spans="1:19">
      <c r="A67" s="24" t="s">
        <v>127</v>
      </c>
      <c r="B67" s="16" t="s">
        <v>128</v>
      </c>
      <c r="C67" s="17">
        <f t="shared" si="22"/>
        <v>7</v>
      </c>
      <c r="D67" s="18">
        <v>7</v>
      </c>
      <c r="E67" s="18"/>
      <c r="F67" s="19">
        <v>1526</v>
      </c>
      <c r="G67" s="19">
        <v>553</v>
      </c>
      <c r="H67" s="20">
        <f t="shared" si="0"/>
        <v>297</v>
      </c>
      <c r="I67" s="20">
        <f t="shared" si="1"/>
        <v>24.75</v>
      </c>
      <c r="K67" s="23"/>
      <c r="L67" s="22"/>
    </row>
    <row r="68" spans="1:19">
      <c r="A68" s="24" t="s">
        <v>129</v>
      </c>
      <c r="B68" s="16" t="s">
        <v>130</v>
      </c>
      <c r="C68" s="17">
        <f t="shared" si="22"/>
        <v>9</v>
      </c>
      <c r="D68" s="18">
        <v>9</v>
      </c>
      <c r="E68" s="18"/>
      <c r="F68" s="19">
        <v>1134</v>
      </c>
      <c r="G68" s="19">
        <v>342</v>
      </c>
      <c r="H68" s="20">
        <f t="shared" si="0"/>
        <v>164</v>
      </c>
      <c r="I68" s="20">
        <f t="shared" si="1"/>
        <v>13.666666666666666</v>
      </c>
      <c r="K68" s="23"/>
      <c r="L68" s="22"/>
    </row>
    <row r="69" spans="1:19">
      <c r="A69" s="24" t="s">
        <v>131</v>
      </c>
      <c r="B69" s="16" t="s">
        <v>132</v>
      </c>
      <c r="C69" s="17">
        <f t="shared" si="22"/>
        <v>6</v>
      </c>
      <c r="D69" s="18">
        <v>6</v>
      </c>
      <c r="E69" s="18"/>
      <c r="F69" s="19">
        <f>611+6</f>
        <v>617</v>
      </c>
      <c r="G69" s="19">
        <v>209</v>
      </c>
      <c r="H69" s="20">
        <f t="shared" si="0"/>
        <v>137.66666666666666</v>
      </c>
      <c r="I69" s="20">
        <f t="shared" si="1"/>
        <v>11.472222222222221</v>
      </c>
      <c r="K69" s="23"/>
      <c r="L69" s="22"/>
    </row>
    <row r="70" spans="1:19">
      <c r="A70" s="24" t="s">
        <v>133</v>
      </c>
      <c r="B70" s="16" t="s">
        <v>134</v>
      </c>
      <c r="C70" s="17">
        <f t="shared" si="22"/>
        <v>85</v>
      </c>
      <c r="D70" s="18">
        <v>85</v>
      </c>
      <c r="E70" s="18"/>
      <c r="F70" s="19">
        <f>36261.83+80</f>
        <v>36341.83</v>
      </c>
      <c r="G70" s="19">
        <v>9045.02</v>
      </c>
      <c r="H70" s="20">
        <f t="shared" si="0"/>
        <v>533.96294117647062</v>
      </c>
      <c r="I70" s="20">
        <f t="shared" si="1"/>
        <v>44.496911764705885</v>
      </c>
      <c r="K70" s="23"/>
      <c r="L70" s="22"/>
    </row>
    <row r="71" spans="1:19">
      <c r="A71" s="24" t="s">
        <v>135</v>
      </c>
      <c r="B71" s="24" t="s">
        <v>136</v>
      </c>
      <c r="C71" s="17">
        <v>90</v>
      </c>
      <c r="D71" s="18">
        <v>90</v>
      </c>
      <c r="E71" s="18"/>
      <c r="F71" s="19">
        <v>-1980</v>
      </c>
      <c r="G71" s="19">
        <v>-360</v>
      </c>
      <c r="H71" s="20">
        <f t="shared" si="0"/>
        <v>-26</v>
      </c>
      <c r="I71" s="20">
        <f t="shared" si="1"/>
        <v>-2.1666666666666665</v>
      </c>
      <c r="K71" s="23"/>
      <c r="L71" s="22"/>
    </row>
    <row r="72" spans="1:19">
      <c r="A72" s="24"/>
      <c r="B72" s="27" t="s">
        <v>137</v>
      </c>
      <c r="D72" s="28"/>
      <c r="E72" s="28"/>
      <c r="F72" s="29">
        <f>SUM(F10:F71)</f>
        <v>6811023.3299999982</v>
      </c>
      <c r="G72" s="29">
        <f>SUM(G10:G71)</f>
        <v>3523341.84</v>
      </c>
      <c r="H72" s="20"/>
      <c r="I72" s="20"/>
      <c r="M72" s="109">
        <f t="shared" ref="M72:P72" si="23">SUM(M10:M71)</f>
        <v>94892341.999379992</v>
      </c>
      <c r="N72" s="109">
        <f t="shared" si="23"/>
        <v>78241226.541518584</v>
      </c>
      <c r="O72" s="109">
        <f t="shared" si="23"/>
        <v>89977.410522745748</v>
      </c>
      <c r="P72" s="109">
        <f t="shared" si="23"/>
        <v>91745.811030355821</v>
      </c>
      <c r="S72" s="109">
        <f t="shared" ref="S72" si="24">SUM(S10:S71)</f>
        <v>91745.811030355821</v>
      </c>
    </row>
    <row r="73" spans="1:19">
      <c r="A73" s="24"/>
      <c r="B73" s="16"/>
      <c r="D73" s="28"/>
      <c r="E73" s="28"/>
      <c r="F73" s="28"/>
      <c r="G73" s="30"/>
      <c r="H73" s="20"/>
      <c r="I73" s="20"/>
    </row>
    <row r="75" spans="1:19">
      <c r="C75" s="31"/>
    </row>
    <row r="76" spans="1:19">
      <c r="A76" s="152" t="s">
        <v>138</v>
      </c>
      <c r="B76" s="12" t="s">
        <v>138</v>
      </c>
      <c r="D76" s="32"/>
      <c r="E76" s="32"/>
      <c r="F76" s="32"/>
    </row>
    <row r="77" spans="1:19">
      <c r="A77" s="152"/>
      <c r="B77" s="12"/>
      <c r="D77" s="32"/>
      <c r="E77" s="33"/>
      <c r="F77" s="32"/>
    </row>
    <row r="78" spans="1:19">
      <c r="A78" s="153" t="s">
        <v>139</v>
      </c>
      <c r="B78" s="15" t="s">
        <v>139</v>
      </c>
      <c r="D78" s="32"/>
      <c r="E78" s="32"/>
      <c r="F78" s="32"/>
    </row>
    <row r="79" spans="1:19">
      <c r="A79" s="24" t="s">
        <v>140</v>
      </c>
      <c r="B79" s="16" t="s">
        <v>141</v>
      </c>
      <c r="C79" s="17">
        <f>26.42+(13.98*3.33)</f>
        <v>72.973399999999998</v>
      </c>
      <c r="D79" s="18">
        <f>27.19+(14.75*3.33)</f>
        <v>76.307500000000005</v>
      </c>
      <c r="E79" s="18">
        <f>27.19</f>
        <v>27.19</v>
      </c>
      <c r="F79" s="34">
        <f>835265.07+4437</f>
        <v>839702.07</v>
      </c>
      <c r="G79" s="34">
        <f>435727.29+2106</f>
        <v>437833.29</v>
      </c>
      <c r="H79" s="20">
        <f>IF(D79="","",(G79/D79)+(F79/C79))</f>
        <v>17244.710136866066</v>
      </c>
      <c r="I79" s="20">
        <f t="shared" ref="I79:I142" si="25">IF(D79="","",H79/12)</f>
        <v>1437.0591780721722</v>
      </c>
      <c r="J79" s="21">
        <v>4.33</v>
      </c>
      <c r="K79" s="22">
        <f>H79*J79</f>
        <v>74669.594892630063</v>
      </c>
      <c r="L79" s="1">
        <v>175</v>
      </c>
      <c r="M79" s="19">
        <f t="shared" ref="M79:M110" si="26">K79*L79</f>
        <v>13067179.106210262</v>
      </c>
      <c r="N79" s="19">
        <f t="shared" ref="N79:N110" si="27">M79*$M$199</f>
        <v>10774232.136817487</v>
      </c>
      <c r="O79" s="23">
        <f t="shared" ref="O79:O110" si="28">N79*$O$5</f>
        <v>12390.366957340018</v>
      </c>
      <c r="P79" s="21">
        <f t="shared" ref="P79:P110" si="29">O79/$P$5</f>
        <v>12633.885092497916</v>
      </c>
      <c r="Q79" s="23">
        <f t="shared" ref="Q79:Q110" si="30">P79/K79</f>
        <v>0.16919718274439022</v>
      </c>
      <c r="S79" s="21">
        <f t="shared" ref="S79:S110" si="31">H79*J79*Q79</f>
        <v>12633.885092497916</v>
      </c>
    </row>
    <row r="80" spans="1:19">
      <c r="A80" s="24" t="s">
        <v>142</v>
      </c>
      <c r="B80" s="16" t="s">
        <v>143</v>
      </c>
      <c r="C80" s="17">
        <f>C79+(13.98*4.33)</f>
        <v>133.5068</v>
      </c>
      <c r="D80" s="18">
        <f>D79+(14.75*4.33)</f>
        <v>140.17500000000001</v>
      </c>
      <c r="E80" s="18">
        <v>14.75</v>
      </c>
      <c r="F80" s="34">
        <v>6571.18</v>
      </c>
      <c r="G80" s="34">
        <v>3653.64</v>
      </c>
      <c r="H80" s="20">
        <f t="shared" ref="H80:H142" si="32">IF(D80="","",(G80/D80)+(F80/C80))</f>
        <v>75.284662532696643</v>
      </c>
      <c r="I80" s="20">
        <f t="shared" si="25"/>
        <v>6.2737218777247206</v>
      </c>
      <c r="J80" s="21">
        <v>8.66</v>
      </c>
      <c r="K80" s="22">
        <f t="shared" ref="K80:K110" si="33">H80*J80</f>
        <v>651.965177533153</v>
      </c>
      <c r="L80" s="1">
        <v>175</v>
      </c>
      <c r="M80" s="19">
        <f t="shared" si="26"/>
        <v>114093.90606830177</v>
      </c>
      <c r="N80" s="19">
        <f t="shared" si="27"/>
        <v>94073.420084363286</v>
      </c>
      <c r="O80" s="23">
        <f t="shared" si="28"/>
        <v>108.18443309701698</v>
      </c>
      <c r="P80" s="21">
        <f t="shared" si="29"/>
        <v>110.31067128605571</v>
      </c>
      <c r="Q80" s="23">
        <f t="shared" si="30"/>
        <v>0.16919718274439025</v>
      </c>
      <c r="S80" s="21">
        <f t="shared" si="31"/>
        <v>110.31067128605572</v>
      </c>
    </row>
    <row r="81" spans="1:19">
      <c r="A81" s="24" t="s">
        <v>144</v>
      </c>
      <c r="B81" s="16" t="s">
        <v>145</v>
      </c>
      <c r="C81" s="17">
        <f>C80+(13.98*4.33)</f>
        <v>194.0402</v>
      </c>
      <c r="D81" s="18">
        <f>D80+(14.75*4.33)</f>
        <v>204.04250000000002</v>
      </c>
      <c r="E81" s="18"/>
      <c r="F81" s="34">
        <v>1552.24</v>
      </c>
      <c r="G81" s="34">
        <v>816.2</v>
      </c>
      <c r="H81" s="20">
        <f t="shared" si="32"/>
        <v>11.999726496777001</v>
      </c>
      <c r="I81" s="20">
        <f t="shared" si="25"/>
        <v>0.9999772080647501</v>
      </c>
      <c r="J81" s="1">
        <v>12.99</v>
      </c>
      <c r="K81" s="22">
        <f t="shared" si="33"/>
        <v>155.87644719313323</v>
      </c>
      <c r="L81" s="1">
        <v>175</v>
      </c>
      <c r="M81" s="19">
        <f t="shared" si="26"/>
        <v>27278.378258798315</v>
      </c>
      <c r="N81" s="19">
        <f t="shared" si="27"/>
        <v>22491.738828048103</v>
      </c>
      <c r="O81" s="23">
        <f t="shared" si="28"/>
        <v>25.865499652255128</v>
      </c>
      <c r="P81" s="21">
        <f t="shared" si="29"/>
        <v>26.373855721282855</v>
      </c>
      <c r="Q81" s="23">
        <f t="shared" si="30"/>
        <v>0.16919718274439022</v>
      </c>
      <c r="S81" s="21">
        <f t="shared" si="31"/>
        <v>26.373855721282855</v>
      </c>
    </row>
    <row r="82" spans="1:19">
      <c r="A82" s="24" t="s">
        <v>146</v>
      </c>
      <c r="B82" s="16" t="s">
        <v>147</v>
      </c>
      <c r="C82" s="17">
        <f>35.97+(18.97*3.33)</f>
        <v>99.14009999999999</v>
      </c>
      <c r="D82" s="18">
        <f>37.07+(20.07*3.33)</f>
        <v>103.90309999999999</v>
      </c>
      <c r="E82" s="18">
        <v>37.07</v>
      </c>
      <c r="F82" s="34">
        <f>220802.45+793</f>
        <v>221595.45</v>
      </c>
      <c r="G82" s="34">
        <f>114451.15+416</f>
        <v>114867.15</v>
      </c>
      <c r="H82" s="20">
        <f t="shared" si="32"/>
        <v>3340.6966434992555</v>
      </c>
      <c r="I82" s="20">
        <f t="shared" si="25"/>
        <v>278.39138695827131</v>
      </c>
      <c r="J82" s="21">
        <v>4.33</v>
      </c>
      <c r="K82" s="22">
        <f t="shared" si="33"/>
        <v>14465.216466351776</v>
      </c>
      <c r="L82" s="1">
        <v>250</v>
      </c>
      <c r="M82" s="19">
        <f t="shared" si="26"/>
        <v>3616304.1165879439</v>
      </c>
      <c r="N82" s="19">
        <f t="shared" si="27"/>
        <v>2981737.6583542679</v>
      </c>
      <c r="O82" s="23">
        <f t="shared" si="28"/>
        <v>3428.998307107383</v>
      </c>
      <c r="P82" s="21">
        <f t="shared" si="29"/>
        <v>3496.3912484206921</v>
      </c>
      <c r="Q82" s="23">
        <f t="shared" si="30"/>
        <v>0.24171026106341464</v>
      </c>
      <c r="S82" s="21">
        <f t="shared" si="31"/>
        <v>3496.3912484206921</v>
      </c>
    </row>
    <row r="83" spans="1:19">
      <c r="A83" s="24" t="s">
        <v>148</v>
      </c>
      <c r="B83" s="16" t="s">
        <v>149</v>
      </c>
      <c r="C83" s="17">
        <f>C82+(18.97*4.33)</f>
        <v>181.28019999999998</v>
      </c>
      <c r="D83" s="18">
        <f>D82+(20.07*4.33)</f>
        <v>190.80619999999999</v>
      </c>
      <c r="E83" s="18">
        <v>20.07</v>
      </c>
      <c r="F83" s="34">
        <v>28826.04</v>
      </c>
      <c r="G83" s="34">
        <v>15772.8</v>
      </c>
      <c r="H83" s="20">
        <f t="shared" si="32"/>
        <v>241.67770623356137</v>
      </c>
      <c r="I83" s="20">
        <f t="shared" si="25"/>
        <v>20.139808852796779</v>
      </c>
      <c r="J83" s="21">
        <v>8.66</v>
      </c>
      <c r="K83" s="22">
        <f t="shared" si="33"/>
        <v>2092.9289359826416</v>
      </c>
      <c r="L83" s="1">
        <v>250</v>
      </c>
      <c r="M83" s="19">
        <f t="shared" si="26"/>
        <v>523232.23399566038</v>
      </c>
      <c r="N83" s="19">
        <f t="shared" si="27"/>
        <v>431418.70978531463</v>
      </c>
      <c r="O83" s="23">
        <f t="shared" si="28"/>
        <v>496.13151625310815</v>
      </c>
      <c r="P83" s="21">
        <f t="shared" si="29"/>
        <v>505.88239950353886</v>
      </c>
      <c r="Q83" s="23">
        <f t="shared" si="30"/>
        <v>0.24171026106341462</v>
      </c>
      <c r="S83" s="21">
        <f t="shared" si="31"/>
        <v>505.88239950353886</v>
      </c>
    </row>
    <row r="84" spans="1:19">
      <c r="A84" s="24" t="s">
        <v>150</v>
      </c>
      <c r="B84" s="16" t="s">
        <v>151</v>
      </c>
      <c r="C84" s="17">
        <f>C83+(18.97*4.33)</f>
        <v>263.4203</v>
      </c>
      <c r="D84" s="18">
        <f>D83+(20.07*4.33)</f>
        <v>277.70929999999998</v>
      </c>
      <c r="E84" s="18"/>
      <c r="F84" s="34">
        <v>8429.44</v>
      </c>
      <c r="G84" s="34">
        <v>4443.2</v>
      </c>
      <c r="H84" s="20">
        <f t="shared" si="32"/>
        <v>47.999427744251037</v>
      </c>
      <c r="I84" s="20">
        <f t="shared" si="25"/>
        <v>3.9999523120209197</v>
      </c>
      <c r="J84" s="1">
        <v>12.99</v>
      </c>
      <c r="K84" s="22">
        <f t="shared" si="33"/>
        <v>623.51256639782093</v>
      </c>
      <c r="L84" s="1">
        <v>250</v>
      </c>
      <c r="M84" s="19">
        <f t="shared" si="26"/>
        <v>155878.14159945524</v>
      </c>
      <c r="N84" s="19">
        <f t="shared" si="27"/>
        <v>128525.61895704482</v>
      </c>
      <c r="O84" s="23">
        <f t="shared" si="28"/>
        <v>147.80446180060045</v>
      </c>
      <c r="P84" s="21">
        <f t="shared" si="29"/>
        <v>150.70938520033695</v>
      </c>
      <c r="Q84" s="23">
        <f t="shared" si="30"/>
        <v>0.24171026106341464</v>
      </c>
      <c r="S84" s="21">
        <f t="shared" si="31"/>
        <v>150.70938520033695</v>
      </c>
    </row>
    <row r="85" spans="1:19">
      <c r="A85" s="24" t="s">
        <v>152</v>
      </c>
      <c r="B85" s="16" t="s">
        <v>153</v>
      </c>
      <c r="C85" s="17">
        <f>43.08+(25.08*3.33)</f>
        <v>126.59639999999999</v>
      </c>
      <c r="D85" s="18">
        <f>44.51+(26.51*3.33)</f>
        <v>132.78829999999999</v>
      </c>
      <c r="E85" s="18">
        <v>44.51</v>
      </c>
      <c r="F85" s="34">
        <f>396272.01+6077</f>
        <v>402349.01</v>
      </c>
      <c r="G85" s="34">
        <f>202463.15+3187</f>
        <v>205650.15</v>
      </c>
      <c r="H85" s="20">
        <f t="shared" si="32"/>
        <v>4726.909470147797</v>
      </c>
      <c r="I85" s="20">
        <f t="shared" si="25"/>
        <v>393.9091225123164</v>
      </c>
      <c r="J85" s="21">
        <v>4.33</v>
      </c>
      <c r="K85" s="22">
        <f t="shared" si="33"/>
        <v>20467.518005739963</v>
      </c>
      <c r="L85" s="1">
        <v>324</v>
      </c>
      <c r="M85" s="19">
        <f t="shared" si="26"/>
        <v>6631475.8338597482</v>
      </c>
      <c r="N85" s="19">
        <f t="shared" si="27"/>
        <v>5467825.8760334598</v>
      </c>
      <c r="O85" s="23">
        <f t="shared" si="28"/>
        <v>6287.9997574384324</v>
      </c>
      <c r="P85" s="21">
        <f t="shared" si="29"/>
        <v>6411.5830201518602</v>
      </c>
      <c r="Q85" s="23">
        <f t="shared" si="30"/>
        <v>0.31325649833818536</v>
      </c>
      <c r="S85" s="21">
        <f t="shared" si="31"/>
        <v>6411.5830201518593</v>
      </c>
    </row>
    <row r="86" spans="1:19">
      <c r="A86" s="24" t="s">
        <v>154</v>
      </c>
      <c r="B86" s="16" t="s">
        <v>155</v>
      </c>
      <c r="C86" s="17">
        <f>C85+(25.08*4.33)</f>
        <v>235.19279999999998</v>
      </c>
      <c r="D86" s="18">
        <f>D85+(26.51*4.33)</f>
        <v>247.57659999999998</v>
      </c>
      <c r="E86" s="18">
        <v>26.51</v>
      </c>
      <c r="F86" s="34">
        <v>68759.05</v>
      </c>
      <c r="G86" s="34">
        <v>33487.01</v>
      </c>
      <c r="H86" s="20">
        <f t="shared" si="32"/>
        <v>427.61103767561474</v>
      </c>
      <c r="I86" s="20">
        <f t="shared" si="25"/>
        <v>35.634253139634559</v>
      </c>
      <c r="J86" s="21">
        <v>8.66</v>
      </c>
      <c r="K86" s="22">
        <f t="shared" si="33"/>
        <v>3703.1115862708239</v>
      </c>
      <c r="L86" s="1">
        <v>324</v>
      </c>
      <c r="M86" s="19">
        <f t="shared" si="26"/>
        <v>1199808.1539517469</v>
      </c>
      <c r="N86" s="19">
        <f t="shared" si="27"/>
        <v>989273.31333347445</v>
      </c>
      <c r="O86" s="23">
        <f t="shared" si="28"/>
        <v>1137.6643103334873</v>
      </c>
      <c r="P86" s="21">
        <f t="shared" si="29"/>
        <v>1160.0237684707613</v>
      </c>
      <c r="Q86" s="23">
        <f t="shared" si="30"/>
        <v>0.31325649833818536</v>
      </c>
      <c r="S86" s="21">
        <f t="shared" si="31"/>
        <v>1160.0237684707613</v>
      </c>
    </row>
    <row r="87" spans="1:19">
      <c r="A87" s="24" t="s">
        <v>156</v>
      </c>
      <c r="B87" s="16" t="s">
        <v>157</v>
      </c>
      <c r="C87" s="17">
        <f>C86+(25.08*4.33)</f>
        <v>343.78919999999994</v>
      </c>
      <c r="D87" s="18">
        <f>D86+(26.51*4.33)</f>
        <v>362.36489999999998</v>
      </c>
      <c r="E87" s="18"/>
      <c r="F87" s="34">
        <v>36456.58</v>
      </c>
      <c r="G87" s="34">
        <v>18090.63</v>
      </c>
      <c r="H87" s="20">
        <f t="shared" si="32"/>
        <v>155.96720493720855</v>
      </c>
      <c r="I87" s="20">
        <f t="shared" si="25"/>
        <v>12.997267078100712</v>
      </c>
      <c r="J87" s="1">
        <v>12.99</v>
      </c>
      <c r="K87" s="22">
        <f t="shared" si="33"/>
        <v>2026.0139921343391</v>
      </c>
      <c r="L87" s="1">
        <v>324</v>
      </c>
      <c r="M87" s="19">
        <f t="shared" si="26"/>
        <v>656428.53345152584</v>
      </c>
      <c r="N87" s="19">
        <f t="shared" si="27"/>
        <v>541242.55458288966</v>
      </c>
      <c r="O87" s="23">
        <f t="shared" si="28"/>
        <v>622.4289377703185</v>
      </c>
      <c r="P87" s="21">
        <f t="shared" si="29"/>
        <v>634.66204876017082</v>
      </c>
      <c r="Q87" s="23">
        <f t="shared" si="30"/>
        <v>0.31325649833818531</v>
      </c>
      <c r="S87" s="21">
        <f t="shared" si="31"/>
        <v>634.66204876017082</v>
      </c>
    </row>
    <row r="88" spans="1:19">
      <c r="A88" s="24" t="s">
        <v>158</v>
      </c>
      <c r="B88" s="16" t="s">
        <v>159</v>
      </c>
      <c r="C88" s="17">
        <f>57.7+(35.21*3.33)</f>
        <v>174.94929999999999</v>
      </c>
      <c r="D88" s="18">
        <f>59.79+(37.3*3.33)</f>
        <v>183.999</v>
      </c>
      <c r="E88" s="18">
        <v>59.79</v>
      </c>
      <c r="F88" s="34">
        <f>217917.76+1400</f>
        <v>219317.76000000001</v>
      </c>
      <c r="G88" s="34">
        <f>108312.97+736</f>
        <v>109048.97</v>
      </c>
      <c r="H88" s="20">
        <f t="shared" si="32"/>
        <v>1846.2681975015721</v>
      </c>
      <c r="I88" s="20">
        <f t="shared" si="25"/>
        <v>153.85568312513101</v>
      </c>
      <c r="J88" s="21">
        <v>4.33</v>
      </c>
      <c r="K88" s="22">
        <f t="shared" si="33"/>
        <v>7994.3412951818073</v>
      </c>
      <c r="L88" s="1">
        <v>473</v>
      </c>
      <c r="M88" s="19">
        <f t="shared" si="26"/>
        <v>3781323.4326209947</v>
      </c>
      <c r="N88" s="19">
        <f t="shared" si="27"/>
        <v>3117800.4155528704</v>
      </c>
      <c r="O88" s="23">
        <f t="shared" si="28"/>
        <v>3585.4704778857745</v>
      </c>
      <c r="P88" s="21">
        <f t="shared" si="29"/>
        <v>3655.9386962561111</v>
      </c>
      <c r="Q88" s="23">
        <f t="shared" si="30"/>
        <v>0.45731581393198045</v>
      </c>
      <c r="S88" s="21">
        <f t="shared" si="31"/>
        <v>3655.9386962561111</v>
      </c>
    </row>
    <row r="89" spans="1:19">
      <c r="A89" s="24" t="s">
        <v>160</v>
      </c>
      <c r="B89" s="16" t="s">
        <v>161</v>
      </c>
      <c r="C89" s="17">
        <f>C88+(35.21*4.33)</f>
        <v>327.40859999999998</v>
      </c>
      <c r="D89" s="18">
        <f>D88+(37.3*4.33)</f>
        <v>345.50799999999998</v>
      </c>
      <c r="E89" s="18">
        <v>37.299999999999997</v>
      </c>
      <c r="F89" s="34">
        <v>50030.16</v>
      </c>
      <c r="G89" s="34">
        <v>25567.74</v>
      </c>
      <c r="H89" s="20">
        <f t="shared" si="32"/>
        <v>226.80692152568895</v>
      </c>
      <c r="I89" s="20">
        <f t="shared" si="25"/>
        <v>18.900576793807414</v>
      </c>
      <c r="J89" s="21">
        <v>8.66</v>
      </c>
      <c r="K89" s="22">
        <f t="shared" si="33"/>
        <v>1964.1479404124664</v>
      </c>
      <c r="L89" s="1">
        <v>473</v>
      </c>
      <c r="M89" s="19">
        <f t="shared" si="26"/>
        <v>929041.97581509664</v>
      </c>
      <c r="N89" s="19">
        <f t="shared" si="27"/>
        <v>766019.49287755974</v>
      </c>
      <c r="O89" s="23">
        <f t="shared" si="28"/>
        <v>880.92241680918721</v>
      </c>
      <c r="P89" s="21">
        <f t="shared" si="29"/>
        <v>898.23591405255013</v>
      </c>
      <c r="Q89" s="23">
        <f t="shared" si="30"/>
        <v>0.45731581393198045</v>
      </c>
      <c r="S89" s="21">
        <f t="shared" si="31"/>
        <v>898.23591405255013</v>
      </c>
    </row>
    <row r="90" spans="1:19">
      <c r="A90" s="24" t="s">
        <v>162</v>
      </c>
      <c r="B90" s="16" t="s">
        <v>163</v>
      </c>
      <c r="C90" s="17">
        <f>C89+(35.21*4.33)</f>
        <v>479.86789999999996</v>
      </c>
      <c r="D90" s="18">
        <f>D89+(37.3*4.33)</f>
        <v>507.01699999999994</v>
      </c>
      <c r="E90" s="18"/>
      <c r="F90" s="34">
        <v>18013.580000000002</v>
      </c>
      <c r="G90" s="34">
        <v>9633.3799999999992</v>
      </c>
      <c r="H90" s="20">
        <f t="shared" si="32"/>
        <v>56.538735030696287</v>
      </c>
      <c r="I90" s="20">
        <f t="shared" si="25"/>
        <v>4.7115612525580239</v>
      </c>
      <c r="J90" s="1">
        <v>12.99</v>
      </c>
      <c r="K90" s="22">
        <f t="shared" si="33"/>
        <v>734.43816804874473</v>
      </c>
      <c r="L90" s="1">
        <v>473</v>
      </c>
      <c r="M90" s="19">
        <f t="shared" si="26"/>
        <v>347389.25348705624</v>
      </c>
      <c r="N90" s="19">
        <f t="shared" si="27"/>
        <v>286431.55714659661</v>
      </c>
      <c r="O90" s="23">
        <f t="shared" si="28"/>
        <v>329.39629071858366</v>
      </c>
      <c r="P90" s="21">
        <f t="shared" si="29"/>
        <v>335.8701886039243</v>
      </c>
      <c r="Q90" s="23">
        <f t="shared" si="30"/>
        <v>0.4573158139319804</v>
      </c>
      <c r="S90" s="21">
        <f t="shared" si="31"/>
        <v>335.8701886039243</v>
      </c>
    </row>
    <row r="91" spans="1:19">
      <c r="A91" s="24" t="s">
        <v>164</v>
      </c>
      <c r="B91" s="16" t="s">
        <v>165</v>
      </c>
      <c r="C91" s="18">
        <f>57.7+(35.21*3.33)+(35.21*4.33*4)</f>
        <v>784.78650000000005</v>
      </c>
      <c r="D91" s="18">
        <f>59.79+(37.3*3.33)+(37.3*4.33*4)</f>
        <v>830.03499999999997</v>
      </c>
      <c r="E91" s="18"/>
      <c r="F91" s="34">
        <v>0</v>
      </c>
      <c r="G91" s="34">
        <v>830.04</v>
      </c>
      <c r="H91" s="20">
        <f t="shared" si="32"/>
        <v>1.000006023842368</v>
      </c>
      <c r="I91" s="20">
        <f t="shared" si="25"/>
        <v>8.3333835320197336E-2</v>
      </c>
      <c r="J91" s="1">
        <v>21.65</v>
      </c>
      <c r="K91" s="22">
        <f t="shared" si="33"/>
        <v>21.650130416187267</v>
      </c>
      <c r="L91" s="1">
        <v>473</v>
      </c>
      <c r="M91" s="19">
        <f t="shared" si="26"/>
        <v>10240.511686856576</v>
      </c>
      <c r="N91" s="19">
        <f t="shared" si="27"/>
        <v>8443.5706602925802</v>
      </c>
      <c r="O91" s="23">
        <f t="shared" si="28"/>
        <v>9.7101062593363956</v>
      </c>
      <c r="P91" s="21">
        <f t="shared" si="29"/>
        <v>9.9009470130122068</v>
      </c>
      <c r="Q91" s="23">
        <f t="shared" si="30"/>
        <v>0.45731581393198045</v>
      </c>
      <c r="S91" s="21">
        <f t="shared" si="31"/>
        <v>9.9009470130122068</v>
      </c>
    </row>
    <row r="92" spans="1:19">
      <c r="A92" s="24" t="s">
        <v>166</v>
      </c>
      <c r="B92" s="16" t="s">
        <v>167</v>
      </c>
      <c r="C92" s="17">
        <f>71.87+(47.87*3.33)</f>
        <v>231.27709999999999</v>
      </c>
      <c r="D92" s="18">
        <f>74.57+(50.57*3.33)</f>
        <v>242.96809999999999</v>
      </c>
      <c r="E92" s="18">
        <v>74.569999999999993</v>
      </c>
      <c r="F92" s="34">
        <f>285580.1+3643</f>
        <v>289223.09999999998</v>
      </c>
      <c r="G92" s="34">
        <f>146685.27+1944</f>
        <v>148629.26999999999</v>
      </c>
      <c r="H92" s="20">
        <f t="shared" si="32"/>
        <v>1862.2713266362775</v>
      </c>
      <c r="I92" s="20">
        <f t="shared" si="25"/>
        <v>155.18927721968979</v>
      </c>
      <c r="J92" s="21">
        <v>4.33</v>
      </c>
      <c r="K92" s="22">
        <f t="shared" si="33"/>
        <v>8063.6348443350817</v>
      </c>
      <c r="L92" s="1">
        <v>613</v>
      </c>
      <c r="M92" s="19">
        <f t="shared" si="26"/>
        <v>4943008.1595774051</v>
      </c>
      <c r="N92" s="19">
        <f t="shared" si="27"/>
        <v>4075639.9627337432</v>
      </c>
      <c r="O92" s="23">
        <f t="shared" si="28"/>
        <v>4686.9859571437701</v>
      </c>
      <c r="P92" s="21">
        <f t="shared" si="29"/>
        <v>4779.1031707601724</v>
      </c>
      <c r="Q92" s="23">
        <f t="shared" si="30"/>
        <v>0.59267356012749262</v>
      </c>
      <c r="S92" s="21">
        <f t="shared" si="31"/>
        <v>4779.1031707601724</v>
      </c>
    </row>
    <row r="93" spans="1:19">
      <c r="A93" s="24" t="s">
        <v>168</v>
      </c>
      <c r="B93" s="16" t="s">
        <v>169</v>
      </c>
      <c r="C93" s="17">
        <f>C92+(47.87*4.33)</f>
        <v>438.55419999999998</v>
      </c>
      <c r="D93" s="18">
        <f>D92+(50.57*4.33)</f>
        <v>461.93619999999999</v>
      </c>
      <c r="E93" s="18">
        <v>50.57</v>
      </c>
      <c r="F93" s="34">
        <v>155282.93</v>
      </c>
      <c r="G93" s="34">
        <v>84056.48</v>
      </c>
      <c r="H93" s="20">
        <f t="shared" si="32"/>
        <v>536.04478361288545</v>
      </c>
      <c r="I93" s="20">
        <f t="shared" si="25"/>
        <v>44.670398634407121</v>
      </c>
      <c r="J93" s="21">
        <v>8.66</v>
      </c>
      <c r="K93" s="22">
        <f t="shared" si="33"/>
        <v>4642.1478260875883</v>
      </c>
      <c r="L93" s="1">
        <v>613</v>
      </c>
      <c r="M93" s="19">
        <f t="shared" si="26"/>
        <v>2845636.6173916915</v>
      </c>
      <c r="N93" s="19">
        <f t="shared" si="27"/>
        <v>2346302.078176538</v>
      </c>
      <c r="O93" s="23">
        <f t="shared" si="28"/>
        <v>2698.2473899029987</v>
      </c>
      <c r="P93" s="21">
        <f t="shared" si="29"/>
        <v>2751.2782787254314</v>
      </c>
      <c r="Q93" s="23">
        <f t="shared" si="30"/>
        <v>0.59267356012749262</v>
      </c>
      <c r="S93" s="21">
        <f t="shared" si="31"/>
        <v>2751.2782787254314</v>
      </c>
    </row>
    <row r="94" spans="1:19">
      <c r="A94" s="24" t="s">
        <v>170</v>
      </c>
      <c r="B94" s="16" t="s">
        <v>171</v>
      </c>
      <c r="C94" s="17">
        <f>C93+(47.87*4.33)</f>
        <v>645.83129999999994</v>
      </c>
      <c r="D94" s="18">
        <f>D93+(50.57*4.33)</f>
        <v>680.90429999999992</v>
      </c>
      <c r="E94" s="18"/>
      <c r="F94" s="34">
        <v>34698.22</v>
      </c>
      <c r="G94" s="34">
        <v>16341.84</v>
      </c>
      <c r="H94" s="20">
        <f t="shared" si="32"/>
        <v>77.726646189970126</v>
      </c>
      <c r="I94" s="20">
        <f t="shared" si="25"/>
        <v>6.4772205158308438</v>
      </c>
      <c r="J94" s="1">
        <v>12.99</v>
      </c>
      <c r="K94" s="22">
        <f t="shared" si="33"/>
        <v>1009.6691340077119</v>
      </c>
      <c r="L94" s="1">
        <v>613</v>
      </c>
      <c r="M94" s="19">
        <f t="shared" si="26"/>
        <v>618927.17914672743</v>
      </c>
      <c r="N94" s="19">
        <f t="shared" si="27"/>
        <v>510321.70369067899</v>
      </c>
      <c r="O94" s="23">
        <f t="shared" si="28"/>
        <v>586.86995924427652</v>
      </c>
      <c r="P94" s="21">
        <f t="shared" si="29"/>
        <v>598.40420020319311</v>
      </c>
      <c r="Q94" s="23">
        <f t="shared" si="30"/>
        <v>0.59267356012749273</v>
      </c>
      <c r="S94" s="21">
        <f t="shared" si="31"/>
        <v>598.40420020319311</v>
      </c>
    </row>
    <row r="95" spans="1:19">
      <c r="A95" s="24" t="s">
        <v>172</v>
      </c>
      <c r="B95" s="16" t="s">
        <v>173</v>
      </c>
      <c r="C95" s="17">
        <f>95.93+(65.93*3.33)</f>
        <v>315.4769</v>
      </c>
      <c r="D95" s="18">
        <f>99.64+(69.64*3.33)</f>
        <v>331.5412</v>
      </c>
      <c r="E95" s="18">
        <v>99.64</v>
      </c>
      <c r="F95" s="34">
        <f>390404.76+2524</f>
        <v>392928.76</v>
      </c>
      <c r="G95" s="34">
        <f>207390.33+1326</f>
        <v>208716.33</v>
      </c>
      <c r="H95" s="20">
        <f t="shared" si="32"/>
        <v>1875.0408450069842</v>
      </c>
      <c r="I95" s="20">
        <f t="shared" si="25"/>
        <v>156.25340375058201</v>
      </c>
      <c r="J95" s="21">
        <v>4.33</v>
      </c>
      <c r="K95" s="22">
        <f t="shared" si="33"/>
        <v>8118.9268588802415</v>
      </c>
      <c r="L95" s="1">
        <v>840</v>
      </c>
      <c r="M95" s="19">
        <f t="shared" si="26"/>
        <v>6819898.5614594026</v>
      </c>
      <c r="N95" s="19">
        <f t="shared" si="27"/>
        <v>5623185.3603192596</v>
      </c>
      <c r="O95" s="23">
        <f t="shared" si="28"/>
        <v>6466.6631643671008</v>
      </c>
      <c r="P95" s="21">
        <f t="shared" si="29"/>
        <v>6593.7578468654319</v>
      </c>
      <c r="Q95" s="23">
        <f t="shared" si="30"/>
        <v>0.81214647717307309</v>
      </c>
      <c r="S95" s="21">
        <f t="shared" si="31"/>
        <v>6593.7578468654319</v>
      </c>
    </row>
    <row r="96" spans="1:19">
      <c r="A96" s="24" t="s">
        <v>174</v>
      </c>
      <c r="B96" s="16" t="s">
        <v>175</v>
      </c>
      <c r="C96" s="17">
        <f>C95*2</f>
        <v>630.9538</v>
      </c>
      <c r="D96" s="18">
        <f>D95*2</f>
        <v>663.08240000000001</v>
      </c>
      <c r="E96" s="18">
        <v>69.64</v>
      </c>
      <c r="F96" s="34">
        <v>2523.84</v>
      </c>
      <c r="G96" s="34">
        <v>2532.3200000000002</v>
      </c>
      <c r="H96" s="20">
        <f t="shared" si="32"/>
        <v>7.8190518445867365</v>
      </c>
      <c r="I96" s="20">
        <f t="shared" si="25"/>
        <v>0.65158765371556138</v>
      </c>
      <c r="J96" s="21">
        <v>4.33</v>
      </c>
      <c r="K96" s="22">
        <f t="shared" si="33"/>
        <v>33.856494487060573</v>
      </c>
      <c r="L96" s="1">
        <f>L95*2</f>
        <v>1680</v>
      </c>
      <c r="M96" s="19">
        <f t="shared" si="26"/>
        <v>56878.910738261766</v>
      </c>
      <c r="N96" s="19">
        <f t="shared" si="27"/>
        <v>46898.154758749988</v>
      </c>
      <c r="O96" s="23">
        <f t="shared" si="28"/>
        <v>53.932877972562089</v>
      </c>
      <c r="P96" s="21">
        <f t="shared" si="29"/>
        <v>54.992865454191637</v>
      </c>
      <c r="Q96" s="23">
        <f t="shared" si="30"/>
        <v>1.6242929543461464</v>
      </c>
      <c r="S96" s="21">
        <f t="shared" si="31"/>
        <v>54.992865454191637</v>
      </c>
    </row>
    <row r="97" spans="1:19">
      <c r="A97" s="24" t="s">
        <v>176</v>
      </c>
      <c r="B97" s="16" t="s">
        <v>177</v>
      </c>
      <c r="C97" s="17">
        <f>C95+(65.93*4.33)</f>
        <v>600.9538</v>
      </c>
      <c r="D97" s="18">
        <f>D95+(69.64*4.33)</f>
        <v>633.08240000000001</v>
      </c>
      <c r="E97" s="18"/>
      <c r="F97" s="34">
        <v>469441.37</v>
      </c>
      <c r="G97" s="34">
        <v>256035.44</v>
      </c>
      <c r="H97" s="20">
        <f t="shared" si="32"/>
        <v>1185.5872208625462</v>
      </c>
      <c r="I97" s="20">
        <f t="shared" si="25"/>
        <v>98.798935071878859</v>
      </c>
      <c r="J97" s="1">
        <v>8.66</v>
      </c>
      <c r="K97" s="22">
        <f t="shared" si="33"/>
        <v>10267.185332669651</v>
      </c>
      <c r="L97" s="1">
        <v>840</v>
      </c>
      <c r="M97" s="19">
        <f t="shared" si="26"/>
        <v>8624435.6794425063</v>
      </c>
      <c r="N97" s="19">
        <f t="shared" si="27"/>
        <v>7111073.5763316499</v>
      </c>
      <c r="O97" s="23">
        <f t="shared" si="28"/>
        <v>8177.7346127813371</v>
      </c>
      <c r="P97" s="21">
        <f t="shared" si="29"/>
        <v>8338.458398410703</v>
      </c>
      <c r="Q97" s="23">
        <f t="shared" si="30"/>
        <v>0.81214647717307309</v>
      </c>
      <c r="S97" s="21">
        <f t="shared" si="31"/>
        <v>8338.458398410703</v>
      </c>
    </row>
    <row r="98" spans="1:19">
      <c r="A98" s="24" t="s">
        <v>178</v>
      </c>
      <c r="B98" s="16" t="s">
        <v>179</v>
      </c>
      <c r="C98" s="17">
        <f>C97+(65.93*4.33)</f>
        <v>886.43070000000012</v>
      </c>
      <c r="D98" s="18">
        <f>D97+(69.64*4.33)</f>
        <v>934.62360000000001</v>
      </c>
      <c r="E98" s="18"/>
      <c r="F98" s="34">
        <v>136298.07</v>
      </c>
      <c r="G98" s="34">
        <v>81870.73</v>
      </c>
      <c r="H98" s="20">
        <f t="shared" si="32"/>
        <v>241.3580897198101</v>
      </c>
      <c r="I98" s="20">
        <f t="shared" si="25"/>
        <v>20.113174143317508</v>
      </c>
      <c r="J98" s="1">
        <v>12.99</v>
      </c>
      <c r="K98" s="22">
        <f t="shared" si="33"/>
        <v>3135.2415854603332</v>
      </c>
      <c r="L98" s="1">
        <v>840</v>
      </c>
      <c r="M98" s="19">
        <f t="shared" si="26"/>
        <v>2633602.9317866801</v>
      </c>
      <c r="N98" s="19">
        <f t="shared" si="27"/>
        <v>2171474.7393174842</v>
      </c>
      <c r="O98" s="23">
        <f t="shared" si="28"/>
        <v>2497.1959502150885</v>
      </c>
      <c r="P98" s="21">
        <f t="shared" si="29"/>
        <v>2546.2754087181306</v>
      </c>
      <c r="Q98" s="23">
        <f t="shared" si="30"/>
        <v>0.81214647717307331</v>
      </c>
      <c r="S98" s="21">
        <f t="shared" si="31"/>
        <v>2546.2754087181306</v>
      </c>
    </row>
    <row r="99" spans="1:19">
      <c r="A99" s="24" t="s">
        <v>180</v>
      </c>
      <c r="B99" s="16" t="s">
        <v>181</v>
      </c>
      <c r="C99" s="17">
        <f>C98+(65.93*4.33)</f>
        <v>1171.9076000000002</v>
      </c>
      <c r="D99" s="18">
        <f>D98+(69.64*4.33)</f>
        <v>1236.1648</v>
      </c>
      <c r="E99" s="18"/>
      <c r="F99" s="34">
        <v>9375.36</v>
      </c>
      <c r="G99" s="34">
        <v>2472.3200000000002</v>
      </c>
      <c r="H99" s="20">
        <f t="shared" si="32"/>
        <v>10.000076882357032</v>
      </c>
      <c r="I99" s="20">
        <f t="shared" si="25"/>
        <v>0.83333974019641932</v>
      </c>
      <c r="J99" s="1">
        <v>17.32</v>
      </c>
      <c r="K99" s="22">
        <f t="shared" si="33"/>
        <v>173.20133160242381</v>
      </c>
      <c r="L99" s="1">
        <v>840</v>
      </c>
      <c r="M99" s="19">
        <f t="shared" si="26"/>
        <v>145489.11854603598</v>
      </c>
      <c r="N99" s="19">
        <f t="shared" si="27"/>
        <v>119959.59677716283</v>
      </c>
      <c r="O99" s="23">
        <f t="shared" si="28"/>
        <v>137.95353629373625</v>
      </c>
      <c r="P99" s="21">
        <f t="shared" si="29"/>
        <v>140.66485130259375</v>
      </c>
      <c r="Q99" s="23">
        <f t="shared" si="30"/>
        <v>0.81214647717307309</v>
      </c>
      <c r="S99" s="21">
        <f t="shared" si="31"/>
        <v>140.66485130259375</v>
      </c>
    </row>
    <row r="100" spans="1:19" ht="15" customHeight="1">
      <c r="A100" s="24" t="s">
        <v>182</v>
      </c>
      <c r="B100" s="16" t="s">
        <v>183</v>
      </c>
      <c r="C100" s="17">
        <f>C99+(65.93*4.33)</f>
        <v>1457.3845000000003</v>
      </c>
      <c r="D100" s="18">
        <f>D99+(69.64*4.33)</f>
        <v>1537.7060000000001</v>
      </c>
      <c r="E100" s="18"/>
      <c r="F100" s="34">
        <v>24666.39</v>
      </c>
      <c r="G100" s="34">
        <v>13870.56</v>
      </c>
      <c r="H100" s="20">
        <f t="shared" si="32"/>
        <v>25.945401825130258</v>
      </c>
      <c r="I100" s="20">
        <f t="shared" si="25"/>
        <v>2.1621168187608548</v>
      </c>
      <c r="J100" s="1">
        <v>21.65</v>
      </c>
      <c r="K100" s="22">
        <f t="shared" si="33"/>
        <v>561.71794951407003</v>
      </c>
      <c r="L100" s="1">
        <v>840</v>
      </c>
      <c r="M100" s="19">
        <f t="shared" si="26"/>
        <v>471843.07759181882</v>
      </c>
      <c r="N100" s="19">
        <f t="shared" si="27"/>
        <v>389047.00156046363</v>
      </c>
      <c r="O100" s="23">
        <f t="shared" si="28"/>
        <v>447.40405179452989</v>
      </c>
      <c r="P100" s="21">
        <f t="shared" si="29"/>
        <v>456.1972538627341</v>
      </c>
      <c r="Q100" s="23">
        <f t="shared" si="30"/>
        <v>0.81214647717307309</v>
      </c>
      <c r="S100" s="21">
        <f t="shared" si="31"/>
        <v>456.1972538627341</v>
      </c>
    </row>
    <row r="101" spans="1:19" s="5" customFormat="1">
      <c r="A101" s="24" t="s">
        <v>184</v>
      </c>
      <c r="B101" s="24" t="s">
        <v>185</v>
      </c>
      <c r="C101" s="25">
        <f>79.4*4.33</f>
        <v>343.80200000000002</v>
      </c>
      <c r="D101" s="18">
        <f>83.33*4.33</f>
        <v>360.81889999999999</v>
      </c>
      <c r="E101" s="18">
        <v>83.33</v>
      </c>
      <c r="F101" s="34">
        <v>2750.4</v>
      </c>
      <c r="G101" s="34">
        <v>1443.28</v>
      </c>
      <c r="H101" s="20">
        <f t="shared" si="32"/>
        <v>11.999965656068607</v>
      </c>
      <c r="I101" s="20">
        <f t="shared" si="25"/>
        <v>0.99999713800571721</v>
      </c>
      <c r="J101" s="21">
        <v>4.33</v>
      </c>
      <c r="K101" s="22">
        <f t="shared" si="33"/>
        <v>51.959851290777067</v>
      </c>
      <c r="L101" s="5">
        <f>L85*2.75</f>
        <v>891</v>
      </c>
      <c r="M101" s="19">
        <f t="shared" si="26"/>
        <v>46296.227500082365</v>
      </c>
      <c r="N101" s="19">
        <f t="shared" si="27"/>
        <v>38172.454673690059</v>
      </c>
      <c r="O101" s="23">
        <f t="shared" si="28"/>
        <v>43.898322874743243</v>
      </c>
      <c r="P101" s="21">
        <f t="shared" si="29"/>
        <v>44.761092941184579</v>
      </c>
      <c r="Q101" s="23">
        <f t="shared" si="30"/>
        <v>0.86145537043000975</v>
      </c>
      <c r="S101" s="21">
        <f t="shared" si="31"/>
        <v>44.761092941184579</v>
      </c>
    </row>
    <row r="102" spans="1:19" s="5" customFormat="1">
      <c r="A102" s="24" t="s">
        <v>186</v>
      </c>
      <c r="B102" s="24" t="s">
        <v>187</v>
      </c>
      <c r="C102" s="25">
        <f>110.32*4.33</f>
        <v>477.68559999999997</v>
      </c>
      <c r="D102" s="18">
        <f>116.06*4.33</f>
        <v>502.53980000000001</v>
      </c>
      <c r="E102" s="18"/>
      <c r="F102" s="34">
        <v>15286.08</v>
      </c>
      <c r="G102" s="34">
        <v>8040.64</v>
      </c>
      <c r="H102" s="20">
        <f t="shared" si="32"/>
        <v>48.000301122196348</v>
      </c>
      <c r="I102" s="20">
        <f t="shared" si="25"/>
        <v>4.0000250935163626</v>
      </c>
      <c r="J102" s="1">
        <v>8.66</v>
      </c>
      <c r="K102" s="22">
        <f t="shared" si="33"/>
        <v>415.68260771822037</v>
      </c>
      <c r="L102" s="5">
        <f>L88*2.75</f>
        <v>1300.75</v>
      </c>
      <c r="M102" s="19">
        <f t="shared" si="26"/>
        <v>540699.15198947513</v>
      </c>
      <c r="N102" s="19">
        <f t="shared" si="27"/>
        <v>445820.64211137226</v>
      </c>
      <c r="O102" s="23">
        <f t="shared" si="28"/>
        <v>512.69373842807431</v>
      </c>
      <c r="P102" s="21">
        <f t="shared" si="29"/>
        <v>522.77013273657178</v>
      </c>
      <c r="Q102" s="23">
        <f t="shared" si="30"/>
        <v>1.2576184883129464</v>
      </c>
      <c r="S102" s="21">
        <f t="shared" si="31"/>
        <v>522.77013273657178</v>
      </c>
    </row>
    <row r="103" spans="1:19">
      <c r="A103" s="24" t="s">
        <v>188</v>
      </c>
      <c r="B103" s="16" t="s">
        <v>189</v>
      </c>
      <c r="C103" s="17">
        <f>146.08*4.33</f>
        <v>632.52640000000008</v>
      </c>
      <c r="D103" s="18">
        <f>153.52*4.33</f>
        <v>664.74160000000006</v>
      </c>
      <c r="E103" s="18"/>
      <c r="F103" s="34">
        <v>15180.72</v>
      </c>
      <c r="G103" s="34">
        <v>7976.88</v>
      </c>
      <c r="H103" s="20">
        <f t="shared" si="32"/>
        <v>36.00010771168543</v>
      </c>
      <c r="I103" s="20">
        <f t="shared" si="25"/>
        <v>3.000008975973786</v>
      </c>
      <c r="J103" s="21">
        <v>4.33</v>
      </c>
      <c r="K103" s="22">
        <f t="shared" si="33"/>
        <v>155.88046639159791</v>
      </c>
      <c r="L103" s="1">
        <f>L92*2.75</f>
        <v>1685.75</v>
      </c>
      <c r="M103" s="19">
        <f t="shared" si="26"/>
        <v>262775.49621963617</v>
      </c>
      <c r="N103" s="19">
        <f t="shared" si="27"/>
        <v>216665.29349033092</v>
      </c>
      <c r="O103" s="23">
        <f t="shared" si="28"/>
        <v>249.16508751387872</v>
      </c>
      <c r="P103" s="21">
        <f t="shared" si="29"/>
        <v>254.06213516926633</v>
      </c>
      <c r="Q103" s="23">
        <f t="shared" si="30"/>
        <v>1.6298522903506047</v>
      </c>
      <c r="S103" s="21">
        <f t="shared" si="31"/>
        <v>254.06213516926633</v>
      </c>
    </row>
    <row r="104" spans="1:19">
      <c r="A104" s="24" t="s">
        <v>190</v>
      </c>
      <c r="B104" s="16" t="s">
        <v>191</v>
      </c>
      <c r="C104" s="17">
        <f>C103*2</f>
        <v>1265.0528000000002</v>
      </c>
      <c r="D104" s="18">
        <f>D103*2</f>
        <v>1329.4832000000001</v>
      </c>
      <c r="E104" s="18"/>
      <c r="F104" s="34">
        <v>10120.48</v>
      </c>
      <c r="G104" s="34">
        <v>5317.92</v>
      </c>
      <c r="H104" s="20">
        <f t="shared" si="32"/>
        <v>12.000035903895144</v>
      </c>
      <c r="I104" s="20">
        <f t="shared" si="25"/>
        <v>1.0000029919912621</v>
      </c>
      <c r="J104" s="1">
        <v>8.66</v>
      </c>
      <c r="K104" s="22">
        <f t="shared" si="33"/>
        <v>103.92031092773195</v>
      </c>
      <c r="L104" s="1">
        <f>L93*2.75</f>
        <v>1685.75</v>
      </c>
      <c r="M104" s="19">
        <f t="shared" si="26"/>
        <v>175183.66414642413</v>
      </c>
      <c r="N104" s="19">
        <f t="shared" si="27"/>
        <v>144443.52899355395</v>
      </c>
      <c r="O104" s="23">
        <f t="shared" si="28"/>
        <v>166.1100583425858</v>
      </c>
      <c r="P104" s="21">
        <f t="shared" si="29"/>
        <v>169.37475677951088</v>
      </c>
      <c r="Q104" s="23">
        <f t="shared" si="30"/>
        <v>1.6298522903506045</v>
      </c>
      <c r="S104" s="21">
        <f t="shared" si="31"/>
        <v>169.37475677951088</v>
      </c>
    </row>
    <row r="105" spans="1:19">
      <c r="A105" s="24" t="s">
        <v>192</v>
      </c>
      <c r="B105" s="16" t="s">
        <v>193</v>
      </c>
      <c r="C105" s="17">
        <v>18.52</v>
      </c>
      <c r="D105" s="18">
        <v>19.29</v>
      </c>
      <c r="E105" s="18"/>
      <c r="F105" s="34">
        <v>537.08000000000004</v>
      </c>
      <c r="G105" s="34">
        <v>501.54</v>
      </c>
      <c r="H105" s="20">
        <f t="shared" si="32"/>
        <v>55.000000000000007</v>
      </c>
      <c r="I105" s="20">
        <f t="shared" si="25"/>
        <v>4.5833333333333339</v>
      </c>
      <c r="J105" s="21">
        <v>1</v>
      </c>
      <c r="K105" s="22">
        <f t="shared" si="33"/>
        <v>55.000000000000007</v>
      </c>
      <c r="L105" s="1">
        <v>175</v>
      </c>
      <c r="M105" s="19">
        <f t="shared" si="26"/>
        <v>9625.0000000000018</v>
      </c>
      <c r="N105" s="19">
        <f t="shared" si="27"/>
        <v>7936.0651196388126</v>
      </c>
      <c r="O105" s="23">
        <f t="shared" si="28"/>
        <v>9.1264748875845676</v>
      </c>
      <c r="P105" s="21">
        <f t="shared" si="29"/>
        <v>9.3058450509414641</v>
      </c>
      <c r="Q105" s="23">
        <f t="shared" si="30"/>
        <v>0.16919718274439025</v>
      </c>
      <c r="S105" s="21">
        <f t="shared" si="31"/>
        <v>9.3058450509414641</v>
      </c>
    </row>
    <row r="106" spans="1:19">
      <c r="A106" s="24" t="s">
        <v>194</v>
      </c>
      <c r="B106" s="16" t="s">
        <v>195</v>
      </c>
      <c r="C106" s="17">
        <v>24.4</v>
      </c>
      <c r="D106" s="18">
        <v>25.5</v>
      </c>
      <c r="E106" s="18"/>
      <c r="F106" s="34">
        <v>805.2</v>
      </c>
      <c r="G106" s="34">
        <v>357</v>
      </c>
      <c r="H106" s="20">
        <f t="shared" si="32"/>
        <v>47.000000000000007</v>
      </c>
      <c r="I106" s="20">
        <f t="shared" si="25"/>
        <v>3.9166666666666674</v>
      </c>
      <c r="J106" s="21">
        <v>1</v>
      </c>
      <c r="K106" s="22">
        <f t="shared" si="33"/>
        <v>47.000000000000007</v>
      </c>
      <c r="L106" s="1">
        <v>250</v>
      </c>
      <c r="M106" s="19">
        <f t="shared" si="26"/>
        <v>11750.000000000002</v>
      </c>
      <c r="N106" s="19">
        <f t="shared" si="27"/>
        <v>9688.183392805824</v>
      </c>
      <c r="O106" s="23">
        <f t="shared" si="28"/>
        <v>11.141410901726616</v>
      </c>
      <c r="P106" s="21">
        <f t="shared" si="29"/>
        <v>11.360382269980491</v>
      </c>
      <c r="Q106" s="23">
        <f t="shared" si="30"/>
        <v>0.24171026106341467</v>
      </c>
      <c r="S106" s="21">
        <f t="shared" si="31"/>
        <v>11.360382269980491</v>
      </c>
    </row>
    <row r="107" spans="1:19">
      <c r="A107" s="24" t="s">
        <v>196</v>
      </c>
      <c r="B107" s="16" t="s">
        <v>197</v>
      </c>
      <c r="C107" s="17">
        <v>29.35</v>
      </c>
      <c r="D107" s="18">
        <v>30.78</v>
      </c>
      <c r="E107" s="18"/>
      <c r="F107" s="34">
        <v>12372.62</v>
      </c>
      <c r="G107" s="34">
        <v>5501.04</v>
      </c>
      <c r="H107" s="20">
        <f t="shared" si="32"/>
        <v>600.27559168601044</v>
      </c>
      <c r="I107" s="20">
        <f t="shared" si="25"/>
        <v>50.022965973834204</v>
      </c>
      <c r="J107" s="21">
        <v>1</v>
      </c>
      <c r="K107" s="22">
        <f t="shared" si="33"/>
        <v>600.27559168601044</v>
      </c>
      <c r="L107" s="1">
        <v>324</v>
      </c>
      <c r="M107" s="19">
        <f t="shared" si="26"/>
        <v>194489.2917062674</v>
      </c>
      <c r="N107" s="19">
        <f t="shared" si="27"/>
        <v>160361.5256159342</v>
      </c>
      <c r="O107" s="23">
        <f t="shared" si="28"/>
        <v>184.41575445832297</v>
      </c>
      <c r="P107" s="21">
        <f t="shared" si="29"/>
        <v>188.04022988944197</v>
      </c>
      <c r="Q107" s="23">
        <f t="shared" si="30"/>
        <v>0.31325649833818536</v>
      </c>
      <c r="S107" s="21">
        <f t="shared" si="31"/>
        <v>188.04022988944197</v>
      </c>
    </row>
    <row r="108" spans="1:19">
      <c r="A108" s="24" t="s">
        <v>198</v>
      </c>
      <c r="B108" s="16" t="s">
        <v>199</v>
      </c>
      <c r="C108" s="17">
        <v>40.79</v>
      </c>
      <c r="D108" s="18">
        <v>42.88</v>
      </c>
      <c r="E108" s="18"/>
      <c r="F108" s="34">
        <v>407.9</v>
      </c>
      <c r="G108" s="34">
        <v>42.88</v>
      </c>
      <c r="H108" s="20">
        <f t="shared" si="32"/>
        <v>11</v>
      </c>
      <c r="I108" s="20">
        <f t="shared" si="25"/>
        <v>0.91666666666666663</v>
      </c>
      <c r="J108" s="21">
        <v>1</v>
      </c>
      <c r="K108" s="22">
        <f t="shared" si="33"/>
        <v>11</v>
      </c>
      <c r="L108" s="1">
        <v>473</v>
      </c>
      <c r="M108" s="19">
        <f t="shared" si="26"/>
        <v>5203</v>
      </c>
      <c r="N108" s="19">
        <f t="shared" si="27"/>
        <v>4290.0100589590375</v>
      </c>
      <c r="O108" s="23">
        <f t="shared" si="28"/>
        <v>4.9335115678028565</v>
      </c>
      <c r="P108" s="21">
        <f t="shared" si="29"/>
        <v>5.0304739532517848</v>
      </c>
      <c r="Q108" s="23">
        <f t="shared" si="30"/>
        <v>0.45731581393198045</v>
      </c>
      <c r="S108" s="21">
        <f t="shared" si="31"/>
        <v>5.0304739532517848</v>
      </c>
    </row>
    <row r="109" spans="1:19">
      <c r="A109" s="24" t="s">
        <v>200</v>
      </c>
      <c r="B109" s="16" t="s">
        <v>201</v>
      </c>
      <c r="C109" s="17">
        <v>52.58</v>
      </c>
      <c r="D109" s="18">
        <v>55.28</v>
      </c>
      <c r="E109" s="18"/>
      <c r="F109" s="34">
        <v>262.89999999999998</v>
      </c>
      <c r="G109" s="34">
        <v>0</v>
      </c>
      <c r="H109" s="20">
        <f t="shared" si="32"/>
        <v>5</v>
      </c>
      <c r="I109" s="20">
        <f t="shared" si="25"/>
        <v>0.41666666666666669</v>
      </c>
      <c r="J109" s="21">
        <v>1</v>
      </c>
      <c r="K109" s="22">
        <f t="shared" si="33"/>
        <v>5</v>
      </c>
      <c r="L109" s="1">
        <v>613</v>
      </c>
      <c r="M109" s="19">
        <f t="shared" si="26"/>
        <v>3065</v>
      </c>
      <c r="N109" s="19">
        <f t="shared" si="27"/>
        <v>2527.1729445914762</v>
      </c>
      <c r="O109" s="23">
        <f t="shared" si="28"/>
        <v>2.9062488862801761</v>
      </c>
      <c r="P109" s="21">
        <f t="shared" si="29"/>
        <v>2.9633678006374633</v>
      </c>
      <c r="Q109" s="23">
        <f t="shared" si="30"/>
        <v>0.59267356012749262</v>
      </c>
      <c r="S109" s="21">
        <f t="shared" si="31"/>
        <v>2.9633678006374629</v>
      </c>
    </row>
    <row r="110" spans="1:19">
      <c r="A110" s="24" t="s">
        <v>202</v>
      </c>
      <c r="B110" s="16" t="s">
        <v>203</v>
      </c>
      <c r="C110" s="17">
        <v>73.23</v>
      </c>
      <c r="D110" s="18">
        <v>76.94</v>
      </c>
      <c r="E110" s="18"/>
      <c r="F110" s="34">
        <v>758.12</v>
      </c>
      <c r="G110" s="34">
        <f>230.82+77</f>
        <v>307.82</v>
      </c>
      <c r="H110" s="20">
        <f t="shared" si="32"/>
        <v>14.353367565703891</v>
      </c>
      <c r="I110" s="20">
        <f t="shared" si="25"/>
        <v>1.1961139638086575</v>
      </c>
      <c r="J110" s="1">
        <v>1</v>
      </c>
      <c r="K110" s="22">
        <f t="shared" si="33"/>
        <v>14.353367565703891</v>
      </c>
      <c r="L110" s="1">
        <v>840</v>
      </c>
      <c r="M110" s="19">
        <f t="shared" si="26"/>
        <v>12056.828755191269</v>
      </c>
      <c r="N110" s="19">
        <f t="shared" si="27"/>
        <v>9941.1717545487445</v>
      </c>
      <c r="O110" s="23">
        <f t="shared" si="28"/>
        <v>11.432347517730973</v>
      </c>
      <c r="P110" s="21">
        <f t="shared" si="29"/>
        <v>11.657036904056666</v>
      </c>
      <c r="Q110" s="23">
        <f t="shared" si="30"/>
        <v>0.81214647717307331</v>
      </c>
      <c r="S110" s="21">
        <f t="shared" si="31"/>
        <v>11.657036904056666</v>
      </c>
    </row>
    <row r="111" spans="1:19">
      <c r="A111" s="24" t="s">
        <v>204</v>
      </c>
      <c r="B111" s="16" t="s">
        <v>205</v>
      </c>
      <c r="C111" s="17">
        <f t="shared" ref="C111:C116" si="34">D111</f>
        <v>0.5</v>
      </c>
      <c r="D111" s="18">
        <v>0.5</v>
      </c>
      <c r="E111" s="18"/>
      <c r="F111" s="34">
        <v>1393.8</v>
      </c>
      <c r="G111" s="34">
        <v>589.79999999999995</v>
      </c>
      <c r="H111" s="20">
        <f t="shared" si="32"/>
        <v>3967.2</v>
      </c>
      <c r="I111" s="20">
        <f t="shared" si="25"/>
        <v>330.59999999999997</v>
      </c>
    </row>
    <row r="112" spans="1:19">
      <c r="A112" s="24" t="s">
        <v>206</v>
      </c>
      <c r="B112" s="16" t="s">
        <v>207</v>
      </c>
      <c r="C112" s="17">
        <f t="shared" si="34"/>
        <v>0.45</v>
      </c>
      <c r="D112" s="18">
        <v>0.45</v>
      </c>
      <c r="E112" s="18"/>
      <c r="F112" s="34">
        <v>288.45</v>
      </c>
      <c r="G112" s="34">
        <v>192.6</v>
      </c>
      <c r="H112" s="20">
        <f t="shared" si="32"/>
        <v>1069</v>
      </c>
      <c r="I112" s="20">
        <f t="shared" si="25"/>
        <v>89.083333333333329</v>
      </c>
    </row>
    <row r="113" spans="1:19">
      <c r="A113" s="24" t="s">
        <v>208</v>
      </c>
      <c r="B113" s="16" t="s">
        <v>209</v>
      </c>
      <c r="C113" s="17">
        <f t="shared" si="34"/>
        <v>0.6</v>
      </c>
      <c r="D113" s="18">
        <v>0.6</v>
      </c>
      <c r="E113" s="18"/>
      <c r="F113" s="34">
        <v>4383.54</v>
      </c>
      <c r="G113" s="34">
        <v>1688.35</v>
      </c>
      <c r="H113" s="20">
        <f t="shared" si="32"/>
        <v>10119.816666666668</v>
      </c>
      <c r="I113" s="20">
        <f t="shared" si="25"/>
        <v>843.31805555555559</v>
      </c>
    </row>
    <row r="114" spans="1:19">
      <c r="A114" s="24" t="s">
        <v>210</v>
      </c>
      <c r="B114" s="16" t="s">
        <v>211</v>
      </c>
      <c r="C114" s="17">
        <f t="shared" si="34"/>
        <v>0.65</v>
      </c>
      <c r="D114" s="18">
        <v>0.65</v>
      </c>
      <c r="E114" s="18"/>
      <c r="F114" s="34">
        <v>85.8</v>
      </c>
      <c r="G114" s="34">
        <v>0</v>
      </c>
      <c r="H114" s="20">
        <f t="shared" si="32"/>
        <v>132</v>
      </c>
      <c r="I114" s="20">
        <f t="shared" si="25"/>
        <v>11</v>
      </c>
    </row>
    <row r="115" spans="1:19">
      <c r="A115" s="24" t="s">
        <v>212</v>
      </c>
      <c r="B115" s="16" t="s">
        <v>213</v>
      </c>
      <c r="C115" s="17">
        <f t="shared" si="34"/>
        <v>0.85</v>
      </c>
      <c r="D115" s="18">
        <v>0.85</v>
      </c>
      <c r="E115" s="18"/>
      <c r="F115" s="34">
        <v>8.9700000000000006</v>
      </c>
      <c r="G115" s="34">
        <v>0</v>
      </c>
      <c r="H115" s="20">
        <f t="shared" si="32"/>
        <v>10.55294117647059</v>
      </c>
      <c r="I115" s="20">
        <f t="shared" si="25"/>
        <v>0.87941176470588245</v>
      </c>
    </row>
    <row r="116" spans="1:19">
      <c r="A116" s="24" t="s">
        <v>214</v>
      </c>
      <c r="B116" s="16" t="s">
        <v>215</v>
      </c>
      <c r="C116" s="17">
        <f t="shared" si="34"/>
        <v>1.25</v>
      </c>
      <c r="D116" s="18">
        <v>1.25</v>
      </c>
      <c r="E116" s="18"/>
      <c r="F116" s="34">
        <v>173.75</v>
      </c>
      <c r="G116" s="34">
        <f>58.75+8</f>
        <v>66.75</v>
      </c>
      <c r="H116" s="20">
        <f t="shared" si="32"/>
        <v>192.4</v>
      </c>
      <c r="I116" s="20">
        <f t="shared" si="25"/>
        <v>16.033333333333335</v>
      </c>
    </row>
    <row r="117" spans="1:19" s="5" customFormat="1">
      <c r="A117" s="24" t="s">
        <v>216</v>
      </c>
      <c r="B117" s="24" t="s">
        <v>217</v>
      </c>
      <c r="C117" s="25">
        <v>11.41</v>
      </c>
      <c r="D117" s="18">
        <v>11.79</v>
      </c>
      <c r="E117" s="18"/>
      <c r="F117" s="34">
        <v>174.95</v>
      </c>
      <c r="G117" s="34">
        <v>11.79</v>
      </c>
      <c r="H117" s="20">
        <f t="shared" si="32"/>
        <v>16.333041191936896</v>
      </c>
      <c r="I117" s="20">
        <f t="shared" si="25"/>
        <v>1.3610867659947414</v>
      </c>
      <c r="J117" s="5">
        <v>4.33</v>
      </c>
      <c r="K117" s="22">
        <f t="shared" ref="K117:K143" si="35">H117*J117</f>
        <v>70.722068361086755</v>
      </c>
      <c r="L117" s="5">
        <v>20</v>
      </c>
      <c r="M117" s="19">
        <f t="shared" ref="M117:M141" si="36">K117*L117</f>
        <v>1414.4413672217352</v>
      </c>
      <c r="N117" s="19">
        <f t="shared" ref="N117:N141" si="37">M117*$M$199</f>
        <v>1166.2440309800149</v>
      </c>
      <c r="O117" s="23">
        <f t="shared" ref="O117:O141" si="38">N117*$O$5</f>
        <v>1.3411806356270073</v>
      </c>
      <c r="P117" s="21">
        <f t="shared" ref="P117:P141" si="39">O117/$P$5</f>
        <v>1.367539968520235</v>
      </c>
      <c r="Q117" s="23">
        <f t="shared" ref="Q117:Q141" si="40">P117/K117</f>
        <v>1.9336820885073172E-2</v>
      </c>
      <c r="S117" s="21">
        <f t="shared" ref="S117:S141" si="41">H117*J117*Q117</f>
        <v>1.367539968520235</v>
      </c>
    </row>
    <row r="118" spans="1:19">
      <c r="A118" s="24" t="s">
        <v>218</v>
      </c>
      <c r="B118" s="16" t="s">
        <v>219</v>
      </c>
      <c r="C118" s="17">
        <v>14.2</v>
      </c>
      <c r="D118" s="18">
        <v>14.75</v>
      </c>
      <c r="E118" s="18"/>
      <c r="F118" s="34">
        <v>994.26</v>
      </c>
      <c r="G118" s="34">
        <v>309.01</v>
      </c>
      <c r="H118" s="20">
        <f t="shared" si="32"/>
        <v>90.968140367629502</v>
      </c>
      <c r="I118" s="20">
        <f t="shared" si="25"/>
        <v>7.5806783639691249</v>
      </c>
      <c r="J118" s="5">
        <v>4.33</v>
      </c>
      <c r="K118" s="22">
        <f t="shared" si="35"/>
        <v>393.89204779183575</v>
      </c>
      <c r="L118" s="1">
        <v>29</v>
      </c>
      <c r="M118" s="19">
        <f t="shared" si="36"/>
        <v>11422.869385963237</v>
      </c>
      <c r="N118" s="19">
        <f t="shared" si="37"/>
        <v>9418.4556155982191</v>
      </c>
      <c r="O118" s="23">
        <f t="shared" si="38"/>
        <v>10.831223957937873</v>
      </c>
      <c r="P118" s="21">
        <f t="shared" si="39"/>
        <v>11.044098965497843</v>
      </c>
      <c r="Q118" s="23">
        <f t="shared" si="40"/>
        <v>2.8038390283356099E-2</v>
      </c>
      <c r="S118" s="21">
        <f t="shared" si="41"/>
        <v>11.044098965497843</v>
      </c>
    </row>
    <row r="119" spans="1:19">
      <c r="A119" s="24" t="s">
        <v>220</v>
      </c>
      <c r="B119" s="16" t="s">
        <v>221</v>
      </c>
      <c r="C119" s="17">
        <v>14.2</v>
      </c>
      <c r="D119" s="18">
        <v>14.75</v>
      </c>
      <c r="E119" s="18"/>
      <c r="F119" s="34">
        <f>7441.64+118</f>
        <v>7559.64</v>
      </c>
      <c r="G119" s="34">
        <v>1380.61</v>
      </c>
      <c r="H119" s="20">
        <f t="shared" si="32"/>
        <v>625.96969205060873</v>
      </c>
      <c r="I119" s="20">
        <f t="shared" si="25"/>
        <v>52.164141004217392</v>
      </c>
      <c r="J119" s="5">
        <v>4.33</v>
      </c>
      <c r="K119" s="22">
        <f t="shared" si="35"/>
        <v>2710.4487665791357</v>
      </c>
      <c r="L119" s="1">
        <v>29</v>
      </c>
      <c r="M119" s="19">
        <f t="shared" si="36"/>
        <v>78603.014230794943</v>
      </c>
      <c r="N119" s="19">
        <f t="shared" si="37"/>
        <v>64810.248263426998</v>
      </c>
      <c r="O119" s="23">
        <f t="shared" si="38"/>
        <v>74.531785502940494</v>
      </c>
      <c r="P119" s="21">
        <f t="shared" si="39"/>
        <v>75.996620360386956</v>
      </c>
      <c r="Q119" s="23">
        <f t="shared" si="40"/>
        <v>2.8038390283356095E-2</v>
      </c>
      <c r="S119" s="21">
        <f t="shared" si="41"/>
        <v>75.996620360386956</v>
      </c>
    </row>
    <row r="120" spans="1:19">
      <c r="A120" s="24" t="s">
        <v>222</v>
      </c>
      <c r="B120" s="16" t="s">
        <v>219</v>
      </c>
      <c r="C120" s="17">
        <f>2.55*4.33*2</f>
        <v>22.082999999999998</v>
      </c>
      <c r="D120" s="18">
        <f>2.68*4.33*2</f>
        <v>23.2088</v>
      </c>
      <c r="E120" s="18"/>
      <c r="F120" s="34">
        <v>874.37</v>
      </c>
      <c r="G120" s="34">
        <v>1670.4</v>
      </c>
      <c r="H120" s="20">
        <f t="shared" si="32"/>
        <v>111.56741087390112</v>
      </c>
      <c r="I120" s="20">
        <f t="shared" si="25"/>
        <v>9.297284239491761</v>
      </c>
      <c r="J120" s="5">
        <v>4.33</v>
      </c>
      <c r="K120" s="22">
        <f t="shared" si="35"/>
        <v>483.08688908399188</v>
      </c>
      <c r="L120" s="1">
        <f>L119*2</f>
        <v>58</v>
      </c>
      <c r="M120" s="19">
        <f t="shared" si="36"/>
        <v>28019.039566871528</v>
      </c>
      <c r="N120" s="19">
        <f t="shared" si="37"/>
        <v>23102.433516096509</v>
      </c>
      <c r="O120" s="23">
        <f t="shared" si="38"/>
        <v>26.56779854351079</v>
      </c>
      <c r="P120" s="21">
        <f t="shared" si="39"/>
        <v>27.089957473818647</v>
      </c>
      <c r="Q120" s="23">
        <f t="shared" si="40"/>
        <v>5.6076780566712198E-2</v>
      </c>
      <c r="S120" s="21">
        <f t="shared" si="41"/>
        <v>27.089957473818647</v>
      </c>
    </row>
    <row r="121" spans="1:19">
      <c r="A121" s="24" t="s">
        <v>223</v>
      </c>
      <c r="B121" s="16" t="s">
        <v>224</v>
      </c>
      <c r="C121" s="17">
        <f>C120</f>
        <v>22.082999999999998</v>
      </c>
      <c r="D121" s="18">
        <f>D120</f>
        <v>23.2088</v>
      </c>
      <c r="E121" s="18">
        <v>2.68</v>
      </c>
      <c r="F121" s="34">
        <f>47.47+94</f>
        <v>141.47</v>
      </c>
      <c r="G121" s="34">
        <f>197.2+93</f>
        <v>290.2</v>
      </c>
      <c r="H121" s="20">
        <f t="shared" si="32"/>
        <v>18.910163217332709</v>
      </c>
      <c r="I121" s="20">
        <f t="shared" si="25"/>
        <v>1.5758469347777257</v>
      </c>
      <c r="J121" s="5">
        <v>4.33</v>
      </c>
      <c r="K121" s="22">
        <f t="shared" si="35"/>
        <v>81.881006731050633</v>
      </c>
      <c r="L121" s="1">
        <f>L120</f>
        <v>58</v>
      </c>
      <c r="M121" s="19">
        <f t="shared" si="36"/>
        <v>4749.0983904009363</v>
      </c>
      <c r="N121" s="19">
        <f t="shared" si="37"/>
        <v>3915.7562686538904</v>
      </c>
      <c r="O121" s="23">
        <f t="shared" si="38"/>
        <v>4.5031197089519406</v>
      </c>
      <c r="P121" s="21">
        <f t="shared" si="39"/>
        <v>4.5916232470386102</v>
      </c>
      <c r="Q121" s="23">
        <f t="shared" si="40"/>
        <v>5.6076780566712191E-2</v>
      </c>
      <c r="S121" s="21">
        <f t="shared" si="41"/>
        <v>4.5916232470386102</v>
      </c>
    </row>
    <row r="122" spans="1:19">
      <c r="A122" s="24" t="s">
        <v>225</v>
      </c>
      <c r="B122" s="16" t="s">
        <v>219</v>
      </c>
      <c r="C122" s="17">
        <f>2.55*4.33*3</f>
        <v>33.124499999999998</v>
      </c>
      <c r="D122" s="18">
        <f>2.68*4.33*3</f>
        <v>34.813200000000002</v>
      </c>
      <c r="E122" s="18"/>
      <c r="F122" s="34">
        <v>124.2</v>
      </c>
      <c r="G122" s="34">
        <v>0</v>
      </c>
      <c r="H122" s="20">
        <f t="shared" si="32"/>
        <v>3.7494905583480507</v>
      </c>
      <c r="I122" s="20">
        <f t="shared" si="25"/>
        <v>0.3124575465290042</v>
      </c>
      <c r="J122" s="5">
        <v>4.33</v>
      </c>
      <c r="K122" s="22">
        <f t="shared" si="35"/>
        <v>16.235294117647058</v>
      </c>
      <c r="L122" s="1">
        <f>L119*3</f>
        <v>87</v>
      </c>
      <c r="M122" s="19">
        <f t="shared" si="36"/>
        <v>1412.4705882352941</v>
      </c>
      <c r="N122" s="19">
        <f t="shared" si="37"/>
        <v>1164.6190719802423</v>
      </c>
      <c r="O122" s="23">
        <f t="shared" si="38"/>
        <v>1.3393119327772689</v>
      </c>
      <c r="P122" s="21">
        <f t="shared" si="39"/>
        <v>1.3656345385069912</v>
      </c>
      <c r="Q122" s="23">
        <f t="shared" si="40"/>
        <v>8.411517085006831E-2</v>
      </c>
      <c r="S122" s="21">
        <f t="shared" si="41"/>
        <v>1.3656345385069912</v>
      </c>
    </row>
    <row r="123" spans="1:19">
      <c r="A123" s="24" t="s">
        <v>226</v>
      </c>
      <c r="B123" s="16" t="s">
        <v>227</v>
      </c>
      <c r="C123" s="17">
        <f>C122</f>
        <v>33.124499999999998</v>
      </c>
      <c r="D123" s="18">
        <f>D122</f>
        <v>34.813200000000002</v>
      </c>
      <c r="E123" s="18"/>
      <c r="F123" s="34">
        <v>66.239999999999995</v>
      </c>
      <c r="G123" s="34">
        <v>271.44</v>
      </c>
      <c r="H123" s="20">
        <f t="shared" si="32"/>
        <v>9.7967707989058912</v>
      </c>
      <c r="I123" s="20">
        <f t="shared" si="25"/>
        <v>0.8163975665754909</v>
      </c>
      <c r="J123" s="5">
        <v>4.33</v>
      </c>
      <c r="K123" s="22">
        <f t="shared" si="35"/>
        <v>42.420017559262511</v>
      </c>
      <c r="L123" s="1">
        <f>L122</f>
        <v>87</v>
      </c>
      <c r="M123" s="19">
        <f t="shared" si="36"/>
        <v>3690.5415276558383</v>
      </c>
      <c r="N123" s="19">
        <f t="shared" si="37"/>
        <v>3042.9483522294058</v>
      </c>
      <c r="O123" s="23">
        <f t="shared" si="38"/>
        <v>3.4993906050637911</v>
      </c>
      <c r="P123" s="21">
        <f t="shared" si="39"/>
        <v>3.5681670244602626</v>
      </c>
      <c r="Q123" s="23">
        <f t="shared" si="40"/>
        <v>8.4115170850068283E-2</v>
      </c>
      <c r="S123" s="21">
        <f t="shared" si="41"/>
        <v>3.5681670244602626</v>
      </c>
    </row>
    <row r="124" spans="1:19">
      <c r="A124" s="24" t="s">
        <v>228</v>
      </c>
      <c r="B124" s="16" t="s">
        <v>229</v>
      </c>
      <c r="C124" s="17">
        <f>2.55*4.33*4</f>
        <v>44.165999999999997</v>
      </c>
      <c r="D124" s="18">
        <f>2.68*4.33*4</f>
        <v>46.4176</v>
      </c>
      <c r="E124" s="18"/>
      <c r="F124" s="34">
        <v>998.02</v>
      </c>
      <c r="G124" s="34">
        <v>1647.2</v>
      </c>
      <c r="H124" s="20">
        <f t="shared" si="32"/>
        <v>58.083559920814352</v>
      </c>
      <c r="I124" s="20">
        <f t="shared" si="25"/>
        <v>4.840296660067863</v>
      </c>
      <c r="J124" s="5">
        <v>4.33</v>
      </c>
      <c r="K124" s="22">
        <f t="shared" si="35"/>
        <v>251.50181445712616</v>
      </c>
      <c r="L124" s="1">
        <f>L119*4</f>
        <v>116</v>
      </c>
      <c r="M124" s="19">
        <f t="shared" si="36"/>
        <v>29174.210477026634</v>
      </c>
      <c r="N124" s="19">
        <f t="shared" si="37"/>
        <v>24054.902250361793</v>
      </c>
      <c r="O124" s="23">
        <f t="shared" si="38"/>
        <v>27.663137587915859</v>
      </c>
      <c r="P124" s="21">
        <f t="shared" si="39"/>
        <v>28.206824122884459</v>
      </c>
      <c r="Q124" s="23">
        <f t="shared" si="40"/>
        <v>0.1121535611334244</v>
      </c>
      <c r="S124" s="21">
        <f t="shared" si="41"/>
        <v>28.206824122884459</v>
      </c>
    </row>
    <row r="125" spans="1:19">
      <c r="A125" s="24" t="s">
        <v>230</v>
      </c>
      <c r="B125" s="16" t="s">
        <v>231</v>
      </c>
      <c r="C125" s="17">
        <f>2.55*4.33*5</f>
        <v>55.207499999999996</v>
      </c>
      <c r="D125" s="18">
        <f>2.68*4.33*5</f>
        <v>58.021999999999998</v>
      </c>
      <c r="E125" s="18"/>
      <c r="F125" s="34">
        <v>110.4</v>
      </c>
      <c r="G125" s="34">
        <v>232</v>
      </c>
      <c r="H125" s="20">
        <f t="shared" si="32"/>
        <v>5.9982116316934553</v>
      </c>
      <c r="I125" s="20">
        <f t="shared" si="25"/>
        <v>0.49985096930778794</v>
      </c>
      <c r="J125" s="5">
        <v>4.33</v>
      </c>
      <c r="K125" s="22">
        <f t="shared" si="35"/>
        <v>25.972256365232663</v>
      </c>
      <c r="L125" s="1">
        <f>L119*5</f>
        <v>145</v>
      </c>
      <c r="M125" s="19">
        <f t="shared" si="36"/>
        <v>3765.977172958736</v>
      </c>
      <c r="N125" s="19">
        <f t="shared" si="37"/>
        <v>3105.147021680395</v>
      </c>
      <c r="O125" s="23">
        <f t="shared" si="38"/>
        <v>3.5709190749324278</v>
      </c>
      <c r="P125" s="21">
        <f t="shared" si="39"/>
        <v>3.6411013025388645</v>
      </c>
      <c r="Q125" s="23">
        <f t="shared" si="40"/>
        <v>0.14019195141678045</v>
      </c>
      <c r="S125" s="21">
        <f t="shared" si="41"/>
        <v>3.6411013025388645</v>
      </c>
    </row>
    <row r="126" spans="1:19">
      <c r="A126" s="24" t="s">
        <v>232</v>
      </c>
      <c r="B126" s="16" t="s">
        <v>233</v>
      </c>
      <c r="C126" s="17">
        <v>23.38</v>
      </c>
      <c r="D126" s="18">
        <f>5.61*4.33</f>
        <v>24.291300000000003</v>
      </c>
      <c r="E126" s="18">
        <v>5.61</v>
      </c>
      <c r="F126" s="34">
        <v>6355.26</v>
      </c>
      <c r="G126" s="34">
        <v>3408.65</v>
      </c>
      <c r="H126" s="20">
        <f t="shared" si="32"/>
        <v>412.14853841453731</v>
      </c>
      <c r="I126" s="20">
        <f t="shared" si="25"/>
        <v>34.345711534544776</v>
      </c>
      <c r="J126" s="5">
        <v>4.33</v>
      </c>
      <c r="K126" s="22">
        <f t="shared" si="35"/>
        <v>1784.6031713349466</v>
      </c>
      <c r="L126" s="1">
        <v>47</v>
      </c>
      <c r="M126" s="19">
        <f t="shared" si="36"/>
        <v>83876.349052742487</v>
      </c>
      <c r="N126" s="19">
        <f t="shared" si="37"/>
        <v>69158.25122910332</v>
      </c>
      <c r="O126" s="23">
        <f t="shared" si="38"/>
        <v>79.531988913468226</v>
      </c>
      <c r="P126" s="21">
        <f t="shared" si="39"/>
        <v>81.095096906337886</v>
      </c>
      <c r="Q126" s="23">
        <f t="shared" si="40"/>
        <v>4.5441529079921938E-2</v>
      </c>
      <c r="S126" s="21">
        <f t="shared" si="41"/>
        <v>81.095096906337886</v>
      </c>
    </row>
    <row r="127" spans="1:19">
      <c r="A127" s="24" t="s">
        <v>234</v>
      </c>
      <c r="B127" s="16" t="s">
        <v>235</v>
      </c>
      <c r="C127" s="17">
        <f>C126</f>
        <v>23.38</v>
      </c>
      <c r="D127" s="18">
        <f>D126</f>
        <v>24.291300000000003</v>
      </c>
      <c r="E127" s="18"/>
      <c r="F127" s="34">
        <v>82578.100000000006</v>
      </c>
      <c r="G127" s="34">
        <v>41879.839999999997</v>
      </c>
      <c r="H127" s="20">
        <f t="shared" si="32"/>
        <v>5256.0648981871891</v>
      </c>
      <c r="I127" s="20">
        <f t="shared" si="25"/>
        <v>438.00540818226574</v>
      </c>
      <c r="J127" s="5">
        <v>4.33</v>
      </c>
      <c r="K127" s="22">
        <f t="shared" si="35"/>
        <v>22758.76100915053</v>
      </c>
      <c r="L127" s="1">
        <v>47</v>
      </c>
      <c r="M127" s="19">
        <f t="shared" si="36"/>
        <v>1069661.767430075</v>
      </c>
      <c r="N127" s="19">
        <f t="shared" si="37"/>
        <v>881964.20179875533</v>
      </c>
      <c r="O127" s="23">
        <f t="shared" si="38"/>
        <v>1014.2588320685611</v>
      </c>
      <c r="P127" s="21">
        <f t="shared" si="39"/>
        <v>1034.1929002203076</v>
      </c>
      <c r="Q127" s="23">
        <f t="shared" si="40"/>
        <v>4.5441529079921945E-2</v>
      </c>
      <c r="S127" s="21">
        <f t="shared" si="41"/>
        <v>1034.1929002203076</v>
      </c>
    </row>
    <row r="128" spans="1:19">
      <c r="A128" s="24" t="s">
        <v>236</v>
      </c>
      <c r="B128" s="16" t="s">
        <v>237</v>
      </c>
      <c r="C128" s="17">
        <f>C126*2</f>
        <v>46.76</v>
      </c>
      <c r="D128" s="18">
        <f>D126*2</f>
        <v>48.582600000000006</v>
      </c>
      <c r="E128" s="18"/>
      <c r="F128" s="34">
        <v>29.23</v>
      </c>
      <c r="G128" s="34">
        <v>0</v>
      </c>
      <c r="H128" s="20">
        <f t="shared" si="32"/>
        <v>0.62510692899914455</v>
      </c>
      <c r="I128" s="20">
        <f t="shared" si="25"/>
        <v>5.2092244083262046E-2</v>
      </c>
      <c r="J128" s="5">
        <v>4.33</v>
      </c>
      <c r="K128" s="22">
        <f t="shared" si="35"/>
        <v>2.7067130025662958</v>
      </c>
      <c r="L128" s="1">
        <f>L127*2</f>
        <v>94</v>
      </c>
      <c r="M128" s="19">
        <f t="shared" si="36"/>
        <v>254.4310222412318</v>
      </c>
      <c r="N128" s="19">
        <f t="shared" si="37"/>
        <v>209.78505568443495</v>
      </c>
      <c r="O128" s="23">
        <f t="shared" si="38"/>
        <v>0.24125281403709842</v>
      </c>
      <c r="P128" s="21">
        <f t="shared" si="39"/>
        <v>0.24599435523423838</v>
      </c>
      <c r="Q128" s="23">
        <f t="shared" si="40"/>
        <v>9.0883058159843905E-2</v>
      </c>
      <c r="S128" s="21">
        <f t="shared" si="41"/>
        <v>0.24599435523423838</v>
      </c>
    </row>
    <row r="129" spans="1:19">
      <c r="A129" s="24" t="s">
        <v>238</v>
      </c>
      <c r="B129" s="16" t="s">
        <v>239</v>
      </c>
      <c r="C129" s="17">
        <v>16.37</v>
      </c>
      <c r="D129" s="18">
        <v>16.82</v>
      </c>
      <c r="E129" s="18"/>
      <c r="F129" s="34">
        <v>744.84</v>
      </c>
      <c r="G129" s="34">
        <v>353.22</v>
      </c>
      <c r="H129" s="20">
        <f t="shared" si="32"/>
        <v>66.500305436774596</v>
      </c>
      <c r="I129" s="20">
        <f t="shared" si="25"/>
        <v>5.5416921197312163</v>
      </c>
      <c r="J129" s="1">
        <v>2.17</v>
      </c>
      <c r="K129" s="22">
        <f t="shared" si="35"/>
        <v>144.30566279780086</v>
      </c>
      <c r="L129" s="1">
        <v>47</v>
      </c>
      <c r="M129" s="19">
        <f t="shared" si="36"/>
        <v>6782.3661514966407</v>
      </c>
      <c r="N129" s="19">
        <f t="shared" si="37"/>
        <v>5592.2389032219653</v>
      </c>
      <c r="O129" s="23">
        <f t="shared" si="38"/>
        <v>6.4310747387052123</v>
      </c>
      <c r="P129" s="21">
        <f t="shared" si="39"/>
        <v>6.5574699724236787</v>
      </c>
      <c r="Q129" s="23">
        <f t="shared" si="40"/>
        <v>4.5441529079921945E-2</v>
      </c>
      <c r="S129" s="21">
        <f t="shared" si="41"/>
        <v>6.5574699724236787</v>
      </c>
    </row>
    <row r="130" spans="1:19">
      <c r="A130" s="24" t="s">
        <v>240</v>
      </c>
      <c r="B130" s="16" t="s">
        <v>241</v>
      </c>
      <c r="C130" s="17">
        <f>C129</f>
        <v>16.37</v>
      </c>
      <c r="D130" s="18">
        <f>D129</f>
        <v>16.82</v>
      </c>
      <c r="E130" s="18"/>
      <c r="F130" s="34">
        <v>16517.439999999999</v>
      </c>
      <c r="G130" s="34">
        <v>8494.1</v>
      </c>
      <c r="H130" s="20">
        <f t="shared" si="32"/>
        <v>1514.0067196090408</v>
      </c>
      <c r="I130" s="20">
        <f t="shared" si="25"/>
        <v>126.16722663408673</v>
      </c>
      <c r="J130" s="1">
        <v>2.17</v>
      </c>
      <c r="K130" s="22">
        <f t="shared" si="35"/>
        <v>3285.3945815516186</v>
      </c>
      <c r="L130" s="1">
        <v>47</v>
      </c>
      <c r="M130" s="19">
        <f t="shared" si="36"/>
        <v>154413.54533292606</v>
      </c>
      <c r="N130" s="19">
        <f t="shared" si="37"/>
        <v>127318.02089521049</v>
      </c>
      <c r="O130" s="23">
        <f t="shared" si="38"/>
        <v>146.41572402949097</v>
      </c>
      <c r="P130" s="21">
        <f t="shared" si="39"/>
        <v>149.29335341659586</v>
      </c>
      <c r="Q130" s="23">
        <f t="shared" si="40"/>
        <v>4.5441529079921945E-2</v>
      </c>
      <c r="S130" s="21">
        <f t="shared" si="41"/>
        <v>149.29335341659586</v>
      </c>
    </row>
    <row r="131" spans="1:19">
      <c r="A131" s="24" t="s">
        <v>242</v>
      </c>
      <c r="B131" s="16" t="s">
        <v>243</v>
      </c>
      <c r="C131" s="17">
        <f>6.73*4.33</f>
        <v>29.140900000000002</v>
      </c>
      <c r="D131" s="18">
        <f>7.03*4.33</f>
        <v>30.439900000000002</v>
      </c>
      <c r="E131" s="18">
        <v>7.03</v>
      </c>
      <c r="F131" s="34">
        <v>9105.27</v>
      </c>
      <c r="G131" s="34">
        <v>4846.05</v>
      </c>
      <c r="H131" s="20">
        <f t="shared" si="32"/>
        <v>471.65730760811721</v>
      </c>
      <c r="I131" s="20">
        <f t="shared" si="25"/>
        <v>39.304775634009765</v>
      </c>
      <c r="J131" s="5">
        <v>4.33</v>
      </c>
      <c r="K131" s="22">
        <f t="shared" si="35"/>
        <v>2042.2761419431476</v>
      </c>
      <c r="L131" s="1">
        <v>68</v>
      </c>
      <c r="M131" s="19">
        <f t="shared" si="36"/>
        <v>138874.77765213404</v>
      </c>
      <c r="N131" s="19">
        <f t="shared" si="37"/>
        <v>114505.89910885159</v>
      </c>
      <c r="O131" s="23">
        <f t="shared" si="38"/>
        <v>131.68178397517835</v>
      </c>
      <c r="P131" s="21">
        <f t="shared" si="39"/>
        <v>134.26983504568392</v>
      </c>
      <c r="Q131" s="23">
        <f t="shared" si="40"/>
        <v>6.5745191009248777E-2</v>
      </c>
      <c r="S131" s="21">
        <f t="shared" si="41"/>
        <v>134.26983504568392</v>
      </c>
    </row>
    <row r="132" spans="1:19">
      <c r="A132" s="24" t="s">
        <v>244</v>
      </c>
      <c r="B132" s="16" t="s">
        <v>245</v>
      </c>
      <c r="C132" s="17">
        <f>C131</f>
        <v>29.140900000000002</v>
      </c>
      <c r="D132" s="18">
        <f>D131</f>
        <v>30.439900000000002</v>
      </c>
      <c r="E132" s="18"/>
      <c r="F132" s="34">
        <v>42854.16</v>
      </c>
      <c r="G132" s="34">
        <v>22870.53</v>
      </c>
      <c r="H132" s="20">
        <f t="shared" si="32"/>
        <v>2221.918582197145</v>
      </c>
      <c r="I132" s="20">
        <f t="shared" si="25"/>
        <v>185.15988184976209</v>
      </c>
      <c r="J132" s="5">
        <v>4.33</v>
      </c>
      <c r="K132" s="22">
        <f t="shared" si="35"/>
        <v>9620.9074609136387</v>
      </c>
      <c r="L132" s="1">
        <v>68</v>
      </c>
      <c r="M132" s="19">
        <f t="shared" si="36"/>
        <v>654221.70734212745</v>
      </c>
      <c r="N132" s="19">
        <f t="shared" si="37"/>
        <v>539422.96853489953</v>
      </c>
      <c r="O132" s="23">
        <f t="shared" si="38"/>
        <v>620.33641381512984</v>
      </c>
      <c r="P132" s="21">
        <f t="shared" si="39"/>
        <v>632.52839870007381</v>
      </c>
      <c r="Q132" s="23">
        <f t="shared" si="40"/>
        <v>6.5745191009248777E-2</v>
      </c>
      <c r="S132" s="21">
        <f t="shared" si="41"/>
        <v>632.52839870007381</v>
      </c>
    </row>
    <row r="133" spans="1:19">
      <c r="A133" s="24" t="s">
        <v>246</v>
      </c>
      <c r="B133" s="16" t="s">
        <v>247</v>
      </c>
      <c r="C133" s="17">
        <v>20.100000000000001</v>
      </c>
      <c r="D133" s="18">
        <v>20.74</v>
      </c>
      <c r="E133" s="18"/>
      <c r="F133" s="34">
        <v>598.98</v>
      </c>
      <c r="G133" s="34">
        <v>316.29000000000002</v>
      </c>
      <c r="H133" s="20">
        <f t="shared" si="32"/>
        <v>45.050241080038575</v>
      </c>
      <c r="I133" s="20">
        <f t="shared" si="25"/>
        <v>3.7541867566698812</v>
      </c>
      <c r="J133" s="1">
        <v>2.17</v>
      </c>
      <c r="K133" s="22">
        <f t="shared" si="35"/>
        <v>97.759023143683706</v>
      </c>
      <c r="L133" s="1">
        <v>68</v>
      </c>
      <c r="M133" s="19">
        <f t="shared" si="36"/>
        <v>6647.6135737704917</v>
      </c>
      <c r="N133" s="19">
        <f t="shared" si="37"/>
        <v>5481.1318661441564</v>
      </c>
      <c r="O133" s="23">
        <f t="shared" si="38"/>
        <v>6.3033016460657336</v>
      </c>
      <c r="P133" s="21">
        <f t="shared" si="39"/>
        <v>6.4271856494590569</v>
      </c>
      <c r="Q133" s="23">
        <f t="shared" si="40"/>
        <v>6.5745191009248777E-2</v>
      </c>
      <c r="S133" s="21">
        <f t="shared" si="41"/>
        <v>6.4271856494590569</v>
      </c>
    </row>
    <row r="134" spans="1:19">
      <c r="A134" s="24" t="s">
        <v>248</v>
      </c>
      <c r="B134" s="16" t="s">
        <v>249</v>
      </c>
      <c r="C134" s="17">
        <f>C133</f>
        <v>20.100000000000001</v>
      </c>
      <c r="D134" s="18">
        <f>D133</f>
        <v>20.74</v>
      </c>
      <c r="E134" s="18"/>
      <c r="F134" s="34">
        <v>2301.4499999999998</v>
      </c>
      <c r="G134" s="34">
        <v>1145.8900000000001</v>
      </c>
      <c r="H134" s="20">
        <f t="shared" si="32"/>
        <v>169.75024108003856</v>
      </c>
      <c r="I134" s="20">
        <f t="shared" si="25"/>
        <v>14.145853423336547</v>
      </c>
      <c r="J134" s="1">
        <v>2.17</v>
      </c>
      <c r="K134" s="22">
        <f t="shared" si="35"/>
        <v>368.35802314368368</v>
      </c>
      <c r="L134" s="1">
        <v>68</v>
      </c>
      <c r="M134" s="19">
        <f t="shared" si="36"/>
        <v>25048.34557377049</v>
      </c>
      <c r="N134" s="19">
        <f t="shared" si="37"/>
        <v>20653.01834936719</v>
      </c>
      <c r="O134" s="23">
        <f t="shared" si="38"/>
        <v>23.750971101772095</v>
      </c>
      <c r="P134" s="21">
        <f t="shared" si="39"/>
        <v>24.217768591370767</v>
      </c>
      <c r="Q134" s="23">
        <f t="shared" si="40"/>
        <v>6.5745191009248777E-2</v>
      </c>
      <c r="S134" s="21">
        <f t="shared" si="41"/>
        <v>24.217768591370763</v>
      </c>
    </row>
    <row r="135" spans="1:19">
      <c r="A135" s="24" t="s">
        <v>250</v>
      </c>
      <c r="B135" s="16" t="s">
        <v>251</v>
      </c>
      <c r="C135" s="17">
        <v>5.4</v>
      </c>
      <c r="D135" s="18">
        <v>5.61</v>
      </c>
      <c r="E135" s="18"/>
      <c r="F135" s="34">
        <v>12823.8</v>
      </c>
      <c r="G135" s="34">
        <v>7799.6</v>
      </c>
      <c r="H135" s="20">
        <f t="shared" si="32"/>
        <v>3765.0808080808074</v>
      </c>
      <c r="I135" s="20">
        <f t="shared" si="25"/>
        <v>313.75673400673395</v>
      </c>
      <c r="J135" s="1">
        <v>1</v>
      </c>
      <c r="K135" s="22">
        <f t="shared" si="35"/>
        <v>3765.0808080808074</v>
      </c>
      <c r="L135" s="1">
        <v>47</v>
      </c>
      <c r="M135" s="19">
        <f t="shared" si="36"/>
        <v>176958.79797979794</v>
      </c>
      <c r="N135" s="19">
        <f t="shared" si="37"/>
        <v>145907.1734296816</v>
      </c>
      <c r="O135" s="23">
        <f t="shared" si="38"/>
        <v>167.79324944413261</v>
      </c>
      <c r="P135" s="21">
        <f t="shared" si="39"/>
        <v>171.09102902866005</v>
      </c>
      <c r="Q135" s="23">
        <f t="shared" si="40"/>
        <v>4.5441529079921952E-2</v>
      </c>
      <c r="S135" s="21">
        <f t="shared" si="41"/>
        <v>171.09102902866005</v>
      </c>
    </row>
    <row r="136" spans="1:19">
      <c r="A136" s="24" t="s">
        <v>252</v>
      </c>
      <c r="B136" s="16" t="s">
        <v>253</v>
      </c>
      <c r="C136" s="17">
        <v>6.75</v>
      </c>
      <c r="D136" s="18">
        <v>7.03</v>
      </c>
      <c r="E136" s="18"/>
      <c r="F136" s="34">
        <v>35090.67</v>
      </c>
      <c r="G136" s="34">
        <v>19687.79</v>
      </c>
      <c r="H136" s="20">
        <f t="shared" si="32"/>
        <v>7999.1568958432108</v>
      </c>
      <c r="I136" s="20">
        <f t="shared" si="25"/>
        <v>666.5964079869342</v>
      </c>
      <c r="J136" s="1">
        <v>1</v>
      </c>
      <c r="K136" s="22">
        <f t="shared" si="35"/>
        <v>7999.1568958432108</v>
      </c>
      <c r="L136" s="1">
        <v>68</v>
      </c>
      <c r="M136" s="19">
        <f t="shared" si="36"/>
        <v>543942.66891733836</v>
      </c>
      <c r="N136" s="19">
        <f t="shared" si="37"/>
        <v>448495.0069483773</v>
      </c>
      <c r="O136" s="23">
        <f t="shared" si="38"/>
        <v>515.76925799063008</v>
      </c>
      <c r="P136" s="21">
        <f t="shared" si="39"/>
        <v>525.9060980301615</v>
      </c>
      <c r="Q136" s="23">
        <f t="shared" si="40"/>
        <v>6.5745191009248791E-2</v>
      </c>
      <c r="S136" s="21">
        <f t="shared" si="41"/>
        <v>525.9060980301615</v>
      </c>
    </row>
    <row r="137" spans="1:19">
      <c r="A137" s="24" t="s">
        <v>254</v>
      </c>
      <c r="B137" s="16" t="s">
        <v>255</v>
      </c>
      <c r="C137" s="17">
        <v>2.5499999999999998</v>
      </c>
      <c r="D137" s="18">
        <v>2.68</v>
      </c>
      <c r="E137" s="18"/>
      <c r="F137" s="34">
        <v>144021.18</v>
      </c>
      <c r="G137" s="34">
        <v>76668.179999999993</v>
      </c>
      <c r="H137" s="20">
        <f t="shared" si="32"/>
        <v>85086.423968393327</v>
      </c>
      <c r="I137" s="20">
        <f t="shared" si="25"/>
        <v>7090.5353306994439</v>
      </c>
      <c r="J137" s="1">
        <v>1</v>
      </c>
      <c r="K137" s="22">
        <f t="shared" si="35"/>
        <v>85086.423968393327</v>
      </c>
      <c r="L137" s="1">
        <v>29</v>
      </c>
      <c r="M137" s="19">
        <f t="shared" si="36"/>
        <v>2467506.2950834064</v>
      </c>
      <c r="N137" s="19">
        <f t="shared" si="37"/>
        <v>2034523.7029507132</v>
      </c>
      <c r="O137" s="23">
        <f t="shared" si="38"/>
        <v>2339.7022583933031</v>
      </c>
      <c r="P137" s="21">
        <f t="shared" si="39"/>
        <v>2385.6863630409166</v>
      </c>
      <c r="Q137" s="23">
        <f t="shared" si="40"/>
        <v>2.8038390283356095E-2</v>
      </c>
      <c r="S137" s="21">
        <f t="shared" si="41"/>
        <v>2385.6863630409166</v>
      </c>
    </row>
    <row r="138" spans="1:19">
      <c r="A138" s="24" t="s">
        <v>256</v>
      </c>
      <c r="B138" s="16" t="s">
        <v>257</v>
      </c>
      <c r="C138" s="17">
        <f>C124</f>
        <v>44.165999999999997</v>
      </c>
      <c r="D138" s="18">
        <f>D124</f>
        <v>46.4176</v>
      </c>
      <c r="E138" s="18"/>
      <c r="F138" s="34">
        <v>1413.12</v>
      </c>
      <c r="G138" s="34">
        <v>742.4</v>
      </c>
      <c r="H138" s="20">
        <f>IF(D138="","",(G138/D138)+(F138/C138))</f>
        <v>47.989586100201343</v>
      </c>
      <c r="I138" s="20">
        <f t="shared" si="25"/>
        <v>3.9991321750167788</v>
      </c>
      <c r="J138" s="5">
        <v>4.33</v>
      </c>
      <c r="K138" s="22">
        <f t="shared" si="35"/>
        <v>207.79490781387182</v>
      </c>
      <c r="L138" s="1">
        <v>29</v>
      </c>
      <c r="M138" s="19">
        <f t="shared" si="36"/>
        <v>6026.0523266022828</v>
      </c>
      <c r="N138" s="19">
        <f t="shared" si="37"/>
        <v>4968.6383042355001</v>
      </c>
      <c r="O138" s="23">
        <f t="shared" si="38"/>
        <v>5.7139340498707831</v>
      </c>
      <c r="P138" s="21">
        <f t="shared" si="39"/>
        <v>5.82623472417934</v>
      </c>
      <c r="Q138" s="23">
        <f t="shared" si="40"/>
        <v>2.8038390283356099E-2</v>
      </c>
      <c r="S138" s="21">
        <f t="shared" si="41"/>
        <v>5.82623472417934</v>
      </c>
    </row>
    <row r="139" spans="1:19">
      <c r="A139" s="24" t="s">
        <v>258</v>
      </c>
      <c r="B139" s="16" t="s">
        <v>259</v>
      </c>
      <c r="C139" s="17">
        <f>C125</f>
        <v>55.207499999999996</v>
      </c>
      <c r="D139" s="18">
        <f>D125</f>
        <v>58.021999999999998</v>
      </c>
      <c r="E139" s="18"/>
      <c r="F139" s="34">
        <v>883.2</v>
      </c>
      <c r="G139" s="34">
        <v>464</v>
      </c>
      <c r="H139" s="20">
        <f t="shared" si="32"/>
        <v>23.994793050100675</v>
      </c>
      <c r="I139" s="20">
        <f t="shared" si="25"/>
        <v>1.9995660875083896</v>
      </c>
      <c r="J139" s="5">
        <v>4.33</v>
      </c>
      <c r="K139" s="22">
        <f t="shared" si="35"/>
        <v>103.89745390693592</v>
      </c>
      <c r="L139" s="1">
        <v>29</v>
      </c>
      <c r="M139" s="19">
        <f t="shared" si="36"/>
        <v>3013.0261633011419</v>
      </c>
      <c r="N139" s="19">
        <f t="shared" si="37"/>
        <v>2484.31915211775</v>
      </c>
      <c r="O139" s="23">
        <f t="shared" si="38"/>
        <v>2.8569670249353916</v>
      </c>
      <c r="P139" s="21">
        <f t="shared" si="39"/>
        <v>2.91311736208967</v>
      </c>
      <c r="Q139" s="23">
        <f t="shared" si="40"/>
        <v>2.8038390283356095E-2</v>
      </c>
      <c r="S139" s="21">
        <f t="shared" si="41"/>
        <v>2.91311736208967</v>
      </c>
    </row>
    <row r="140" spans="1:19">
      <c r="A140" s="24" t="s">
        <v>260</v>
      </c>
      <c r="B140" s="16" t="s">
        <v>261</v>
      </c>
      <c r="C140" s="17">
        <v>11.04</v>
      </c>
      <c r="D140" s="18">
        <v>11.19</v>
      </c>
      <c r="E140" s="18"/>
      <c r="F140" s="34">
        <v>706.56</v>
      </c>
      <c r="G140" s="34">
        <v>358.08</v>
      </c>
      <c r="H140" s="20">
        <f t="shared" si="32"/>
        <v>96</v>
      </c>
      <c r="I140" s="20">
        <f t="shared" si="25"/>
        <v>8</v>
      </c>
      <c r="J140" s="1">
        <v>1</v>
      </c>
      <c r="K140" s="22">
        <f t="shared" si="35"/>
        <v>96</v>
      </c>
      <c r="L140" s="1">
        <v>29</v>
      </c>
      <c r="M140" s="19">
        <f t="shared" si="36"/>
        <v>2784</v>
      </c>
      <c r="N140" s="19">
        <f t="shared" si="37"/>
        <v>2295.4810694103326</v>
      </c>
      <c r="O140" s="23">
        <f t="shared" si="38"/>
        <v>2.639803229821863</v>
      </c>
      <c r="P140" s="21">
        <f t="shared" si="39"/>
        <v>2.691685467202185</v>
      </c>
      <c r="Q140" s="23">
        <f t="shared" si="40"/>
        <v>2.8038390283356095E-2</v>
      </c>
      <c r="S140" s="21">
        <f t="shared" si="41"/>
        <v>2.691685467202185</v>
      </c>
    </row>
    <row r="141" spans="1:19">
      <c r="A141" s="24" t="s">
        <v>262</v>
      </c>
      <c r="B141" s="16" t="s">
        <v>263</v>
      </c>
      <c r="C141" s="17">
        <v>3.46</v>
      </c>
      <c r="D141" s="18">
        <v>3.61</v>
      </c>
      <c r="E141" s="18"/>
      <c r="F141" s="34">
        <v>24.22</v>
      </c>
      <c r="G141" s="34">
        <v>0</v>
      </c>
      <c r="H141" s="20">
        <f t="shared" si="32"/>
        <v>7</v>
      </c>
      <c r="I141" s="20">
        <f t="shared" si="25"/>
        <v>0.58333333333333337</v>
      </c>
      <c r="J141" s="1">
        <v>1</v>
      </c>
      <c r="K141" s="22">
        <f t="shared" si="35"/>
        <v>7</v>
      </c>
      <c r="L141" s="1">
        <v>125</v>
      </c>
      <c r="M141" s="19">
        <f t="shared" si="36"/>
        <v>875</v>
      </c>
      <c r="N141" s="19">
        <f t="shared" si="37"/>
        <v>721.46046542171018</v>
      </c>
      <c r="O141" s="23">
        <f t="shared" si="38"/>
        <v>0.82967953523496063</v>
      </c>
      <c r="P141" s="21">
        <f t="shared" si="39"/>
        <v>0.84598591372195131</v>
      </c>
      <c r="Q141" s="23">
        <f t="shared" si="40"/>
        <v>0.12085513053170734</v>
      </c>
      <c r="S141" s="21">
        <f t="shared" si="41"/>
        <v>0.84598591372195131</v>
      </c>
    </row>
    <row r="142" spans="1:19">
      <c r="A142" s="24" t="s">
        <v>264</v>
      </c>
      <c r="B142" s="16" t="s">
        <v>265</v>
      </c>
      <c r="C142" s="17">
        <v>3.5</v>
      </c>
      <c r="D142" s="18">
        <v>3.5</v>
      </c>
      <c r="E142" s="18"/>
      <c r="F142" s="34">
        <v>77</v>
      </c>
      <c r="G142" s="34">
        <v>21</v>
      </c>
      <c r="H142" s="20">
        <f t="shared" si="32"/>
        <v>28</v>
      </c>
      <c r="I142" s="20">
        <f t="shared" si="25"/>
        <v>2.3333333333333335</v>
      </c>
      <c r="K142" s="22"/>
    </row>
    <row r="143" spans="1:19">
      <c r="A143" s="24" t="s">
        <v>266</v>
      </c>
      <c r="B143" s="16" t="s">
        <v>267</v>
      </c>
      <c r="C143" s="17">
        <v>3.46</v>
      </c>
      <c r="D143" s="18">
        <v>3.61</v>
      </c>
      <c r="E143" s="18"/>
      <c r="F143" s="34">
        <f>14389.43+138</f>
        <v>14527.43</v>
      </c>
      <c r="G143" s="34">
        <f>6016.69+86</f>
        <v>6102.69</v>
      </c>
      <c r="H143" s="20">
        <f t="shared" ref="H143:H194" si="42">IF(D143="","",(G143/D143)+(F143/C143))</f>
        <v>5889.1750356267912</v>
      </c>
      <c r="I143" s="20">
        <f t="shared" ref="I143:I194" si="43">IF(D143="","",H143/12)</f>
        <v>490.7645863022326</v>
      </c>
      <c r="J143" s="1">
        <v>1</v>
      </c>
      <c r="K143" s="22">
        <f t="shared" si="35"/>
        <v>5889.1750356267912</v>
      </c>
      <c r="L143" s="1">
        <v>29</v>
      </c>
      <c r="M143" s="19">
        <f t="shared" ref="M143" si="44">K143*L143</f>
        <v>170786.07603317694</v>
      </c>
      <c r="N143" s="19">
        <f t="shared" ref="N143" si="45">M143*$M$199</f>
        <v>140817.60217422104</v>
      </c>
      <c r="O143" s="23">
        <f t="shared" ref="O143" si="46">N143*$O$5</f>
        <v>161.94024250035301</v>
      </c>
      <c r="P143" s="21">
        <f t="shared" ref="P143" si="47">O143/$P$5</f>
        <v>165.12298809590152</v>
      </c>
      <c r="Q143" s="23">
        <f t="shared" ref="Q143" si="48">P143/K143</f>
        <v>2.8038390283356095E-2</v>
      </c>
      <c r="S143" s="21">
        <f t="shared" ref="S143" si="49">H143*J143*Q143</f>
        <v>165.12298809590152</v>
      </c>
    </row>
    <row r="144" spans="1:19">
      <c r="A144" s="24" t="s">
        <v>268</v>
      </c>
      <c r="B144" s="16" t="s">
        <v>269</v>
      </c>
      <c r="C144" s="17">
        <v>3.5</v>
      </c>
      <c r="D144" s="18">
        <v>3.5</v>
      </c>
      <c r="E144" s="18"/>
      <c r="F144" s="34">
        <v>290.20999999999998</v>
      </c>
      <c r="G144" s="34">
        <v>31.45</v>
      </c>
      <c r="H144" s="20">
        <f t="shared" si="42"/>
        <v>91.90285714285713</v>
      </c>
      <c r="I144" s="20">
        <f t="shared" si="43"/>
        <v>7.6585714285714275</v>
      </c>
    </row>
    <row r="145" spans="1:19">
      <c r="A145" s="24" t="s">
        <v>270</v>
      </c>
      <c r="B145" s="16" t="s">
        <v>271</v>
      </c>
      <c r="C145" s="17">
        <v>27.26</v>
      </c>
      <c r="D145" s="18">
        <v>28.03</v>
      </c>
      <c r="E145" s="18"/>
      <c r="F145" s="34">
        <v>6349.9</v>
      </c>
      <c r="G145" s="34">
        <v>3527.69</v>
      </c>
      <c r="H145" s="20">
        <f t="shared" si="42"/>
        <v>358.79245614893796</v>
      </c>
      <c r="I145" s="20">
        <f t="shared" si="43"/>
        <v>29.899371345744829</v>
      </c>
      <c r="J145" s="1">
        <v>1</v>
      </c>
      <c r="K145" s="22">
        <f t="shared" ref="K145:K148" si="50">H145*J145</f>
        <v>358.79245614893796</v>
      </c>
      <c r="L145" s="1">
        <v>125</v>
      </c>
      <c r="M145" s="19">
        <f t="shared" ref="M145:M148" si="51">K145*L145</f>
        <v>44849.057018617248</v>
      </c>
      <c r="N145" s="19">
        <f t="shared" ref="N145:N148" si="52">M145*$M$199</f>
        <v>36979.224629001619</v>
      </c>
      <c r="O145" s="23">
        <f t="shared" ref="O145:O148" si="53">N145*$O$5</f>
        <v>42.526108323351551</v>
      </c>
      <c r="P145" s="21">
        <f t="shared" ref="P145:P148" si="54">O145/$P$5</f>
        <v>43.361909121671779</v>
      </c>
      <c r="Q145" s="23">
        <f t="shared" ref="Q145:Q148" si="55">P145/K145</f>
        <v>0.12085513053170734</v>
      </c>
      <c r="S145" s="21">
        <f t="shared" ref="S145:S148" si="56">H145*J145*Q145</f>
        <v>43.361909121671779</v>
      </c>
    </row>
    <row r="146" spans="1:19">
      <c r="A146" s="24" t="s">
        <v>272</v>
      </c>
      <c r="B146" s="16" t="s">
        <v>273</v>
      </c>
      <c r="C146" s="17">
        <v>5.81</v>
      </c>
      <c r="D146" s="18">
        <v>5.96</v>
      </c>
      <c r="E146" s="18"/>
      <c r="F146" s="34">
        <v>136.88</v>
      </c>
      <c r="G146" s="34">
        <v>0</v>
      </c>
      <c r="H146" s="20">
        <f t="shared" si="42"/>
        <v>23.559380378657487</v>
      </c>
      <c r="I146" s="20">
        <f t="shared" si="43"/>
        <v>1.9632816982214571</v>
      </c>
      <c r="J146" s="1">
        <v>1</v>
      </c>
      <c r="K146" s="22">
        <f t="shared" si="50"/>
        <v>23.559380378657487</v>
      </c>
      <c r="L146" s="1">
        <v>29</v>
      </c>
      <c r="M146" s="19">
        <f t="shared" si="51"/>
        <v>683.22203098106706</v>
      </c>
      <c r="N146" s="19">
        <f t="shared" si="52"/>
        <v>563.3344965233905</v>
      </c>
      <c r="O146" s="23">
        <f t="shared" si="53"/>
        <v>0.64783467100189429</v>
      </c>
      <c r="P146" s="21">
        <f t="shared" si="54"/>
        <v>0.66056710189084022</v>
      </c>
      <c r="Q146" s="23">
        <f t="shared" si="55"/>
        <v>2.8038390283356092E-2</v>
      </c>
      <c r="S146" s="21">
        <f t="shared" si="56"/>
        <v>0.66056710189084022</v>
      </c>
    </row>
    <row r="147" spans="1:19">
      <c r="A147" s="24" t="s">
        <v>274</v>
      </c>
      <c r="B147" s="16" t="s">
        <v>82</v>
      </c>
      <c r="C147" s="17">
        <v>6.56</v>
      </c>
      <c r="D147" s="18">
        <v>6.71</v>
      </c>
      <c r="E147" s="18"/>
      <c r="F147" s="34">
        <v>13.12</v>
      </c>
      <c r="G147" s="34">
        <v>20.13</v>
      </c>
      <c r="H147" s="20">
        <f t="shared" si="42"/>
        <v>5</v>
      </c>
      <c r="I147" s="20">
        <f t="shared" si="43"/>
        <v>0.41666666666666669</v>
      </c>
      <c r="J147" s="1">
        <v>1</v>
      </c>
      <c r="K147" s="22">
        <f t="shared" si="50"/>
        <v>5</v>
      </c>
      <c r="L147" s="1">
        <v>29</v>
      </c>
      <c r="M147" s="19">
        <f t="shared" si="51"/>
        <v>145</v>
      </c>
      <c r="N147" s="19">
        <f t="shared" si="52"/>
        <v>119.55630569845482</v>
      </c>
      <c r="O147" s="23">
        <f t="shared" si="53"/>
        <v>0.13748975155322202</v>
      </c>
      <c r="P147" s="21">
        <f t="shared" si="54"/>
        <v>0.14019195141678048</v>
      </c>
      <c r="Q147" s="23">
        <f t="shared" si="55"/>
        <v>2.8038390283356095E-2</v>
      </c>
      <c r="S147" s="21">
        <f t="shared" si="56"/>
        <v>0.14019195141678048</v>
      </c>
    </row>
    <row r="148" spans="1:19">
      <c r="A148" s="24" t="s">
        <v>275</v>
      </c>
      <c r="B148" s="16" t="s">
        <v>276</v>
      </c>
      <c r="C148" s="17">
        <v>6.56</v>
      </c>
      <c r="D148" s="18">
        <v>6.71</v>
      </c>
      <c r="E148" s="18"/>
      <c r="F148" s="34">
        <v>13.12</v>
      </c>
      <c r="G148" s="34">
        <v>20.13</v>
      </c>
      <c r="H148" s="20">
        <f t="shared" si="42"/>
        <v>5</v>
      </c>
      <c r="I148" s="20">
        <f t="shared" si="43"/>
        <v>0.41666666666666669</v>
      </c>
      <c r="J148" s="1">
        <v>1</v>
      </c>
      <c r="K148" s="22">
        <f t="shared" si="50"/>
        <v>5</v>
      </c>
      <c r="L148" s="1">
        <v>29</v>
      </c>
      <c r="M148" s="19">
        <f t="shared" si="51"/>
        <v>145</v>
      </c>
      <c r="N148" s="19">
        <f t="shared" si="52"/>
        <v>119.55630569845482</v>
      </c>
      <c r="O148" s="23">
        <f t="shared" si="53"/>
        <v>0.13748975155322202</v>
      </c>
      <c r="P148" s="21">
        <f t="shared" si="54"/>
        <v>0.14019195141678048</v>
      </c>
      <c r="Q148" s="23">
        <f t="shared" si="55"/>
        <v>2.8038390283356095E-2</v>
      </c>
      <c r="S148" s="21">
        <f t="shared" si="56"/>
        <v>0.14019195141678048</v>
      </c>
    </row>
    <row r="149" spans="1:19">
      <c r="A149" s="24" t="s">
        <v>277</v>
      </c>
      <c r="B149" s="16" t="s">
        <v>278</v>
      </c>
      <c r="C149" s="17">
        <f>D149</f>
        <v>4.5</v>
      </c>
      <c r="D149" s="18">
        <v>4.5</v>
      </c>
      <c r="E149" s="18"/>
      <c r="F149" s="34">
        <v>7166.02</v>
      </c>
      <c r="G149" s="34">
        <v>3886.01</v>
      </c>
      <c r="H149" s="20">
        <f t="shared" si="42"/>
        <v>2456.0066666666671</v>
      </c>
      <c r="I149" s="20">
        <f t="shared" si="43"/>
        <v>204.66722222222225</v>
      </c>
    </row>
    <row r="150" spans="1:19">
      <c r="A150" s="24" t="s">
        <v>279</v>
      </c>
      <c r="B150" s="16" t="s">
        <v>280</v>
      </c>
      <c r="C150" s="17">
        <f>D150</f>
        <v>4.5</v>
      </c>
      <c r="D150" s="18">
        <v>4.5</v>
      </c>
      <c r="E150" s="18"/>
      <c r="F150" s="34">
        <v>46.08</v>
      </c>
      <c r="G150" s="34">
        <v>44.28</v>
      </c>
      <c r="H150" s="20">
        <f t="shared" si="42"/>
        <v>20.079999999999998</v>
      </c>
      <c r="I150" s="20">
        <f t="shared" si="43"/>
        <v>1.6733333333333331</v>
      </c>
    </row>
    <row r="151" spans="1:19">
      <c r="A151" s="24" t="s">
        <v>281</v>
      </c>
      <c r="B151" s="16" t="s">
        <v>282</v>
      </c>
      <c r="C151" s="17">
        <v>30</v>
      </c>
      <c r="D151" s="18">
        <v>30</v>
      </c>
      <c r="E151" s="18"/>
      <c r="F151" s="34">
        <v>30</v>
      </c>
      <c r="G151" s="34">
        <v>30</v>
      </c>
      <c r="H151" s="20">
        <f t="shared" si="42"/>
        <v>2</v>
      </c>
      <c r="I151" s="20">
        <f t="shared" si="43"/>
        <v>0.16666666666666666</v>
      </c>
    </row>
    <row r="152" spans="1:19">
      <c r="A152" s="24" t="s">
        <v>283</v>
      </c>
      <c r="B152" s="16" t="s">
        <v>284</v>
      </c>
      <c r="C152" s="17">
        <v>3.5</v>
      </c>
      <c r="D152" s="18">
        <v>3.5</v>
      </c>
      <c r="E152" s="18"/>
      <c r="F152" s="34">
        <v>360.5</v>
      </c>
      <c r="G152" s="34">
        <v>0</v>
      </c>
      <c r="H152" s="20">
        <f t="shared" si="42"/>
        <v>103</v>
      </c>
      <c r="I152" s="20">
        <f t="shared" si="43"/>
        <v>8.5833333333333339</v>
      </c>
    </row>
    <row r="153" spans="1:19" s="5" customFormat="1">
      <c r="A153" s="24" t="s">
        <v>285</v>
      </c>
      <c r="B153" s="24" t="s">
        <v>286</v>
      </c>
      <c r="C153" s="25">
        <v>112.94</v>
      </c>
      <c r="D153" s="18">
        <v>123.29</v>
      </c>
      <c r="E153" s="18"/>
      <c r="F153" s="34">
        <v>34916.080000000002</v>
      </c>
      <c r="G153" s="34">
        <v>9446.48</v>
      </c>
      <c r="H153" s="20">
        <f t="shared" si="42"/>
        <v>385.77601366398369</v>
      </c>
      <c r="I153" s="20">
        <f t="shared" si="43"/>
        <v>32.148001138665308</v>
      </c>
      <c r="J153" s="5">
        <v>1</v>
      </c>
      <c r="K153" s="22">
        <f t="shared" ref="K153" si="57">H153*J153</f>
        <v>385.77601366398369</v>
      </c>
      <c r="L153" s="5">
        <v>125</v>
      </c>
      <c r="M153" s="19">
        <f t="shared" ref="M153" si="58">K153*L153</f>
        <v>48222.001707997959</v>
      </c>
      <c r="N153" s="19">
        <f t="shared" ref="N153" si="59">M153*$M$199</f>
        <v>39760.306052364242</v>
      </c>
      <c r="O153" s="23">
        <f t="shared" ref="O153" si="60">N153*$O$5</f>
        <v>45.724351960218542</v>
      </c>
      <c r="P153" s="21">
        <f t="shared" ref="P153" si="61">O153/$P$5</f>
        <v>46.623010487362457</v>
      </c>
      <c r="Q153" s="23">
        <f t="shared" ref="Q153" si="62">P153/K153</f>
        <v>0.12085513053170732</v>
      </c>
      <c r="S153" s="21">
        <f t="shared" ref="S153" si="63">H153*J153*Q153</f>
        <v>46.623010487362457</v>
      </c>
    </row>
    <row r="154" spans="1:19">
      <c r="A154" s="24" t="s">
        <v>287</v>
      </c>
      <c r="B154" s="16" t="s">
        <v>288</v>
      </c>
      <c r="C154" s="17">
        <f>D154</f>
        <v>6.65</v>
      </c>
      <c r="D154" s="18">
        <v>6.65</v>
      </c>
      <c r="E154" s="18"/>
      <c r="F154" s="34">
        <v>816.16</v>
      </c>
      <c r="G154" s="34">
        <v>1503.68</v>
      </c>
      <c r="H154" s="20">
        <f t="shared" si="42"/>
        <v>348.84812030075187</v>
      </c>
      <c r="I154" s="20">
        <f t="shared" si="43"/>
        <v>29.070676691729322</v>
      </c>
    </row>
    <row r="155" spans="1:19">
      <c r="A155" s="24" t="s">
        <v>289</v>
      </c>
      <c r="B155" s="16" t="s">
        <v>290</v>
      </c>
      <c r="C155" s="17">
        <f>C154</f>
        <v>6.65</v>
      </c>
      <c r="D155" s="18">
        <f>D154</f>
        <v>6.65</v>
      </c>
      <c r="E155" s="18"/>
      <c r="F155" s="34">
        <v>2196.19</v>
      </c>
      <c r="G155" s="34">
        <v>13.26</v>
      </c>
      <c r="H155" s="20">
        <f t="shared" si="42"/>
        <v>332.24812030075185</v>
      </c>
      <c r="I155" s="20">
        <f t="shared" si="43"/>
        <v>27.687343358395989</v>
      </c>
    </row>
    <row r="156" spans="1:19" s="5" customFormat="1">
      <c r="A156" s="24" t="s">
        <v>291</v>
      </c>
      <c r="B156" s="24" t="s">
        <v>292</v>
      </c>
      <c r="C156" s="25">
        <f t="shared" ref="C156:C162" si="64">D156</f>
        <v>10</v>
      </c>
      <c r="D156" s="18">
        <v>10</v>
      </c>
      <c r="E156" s="18"/>
      <c r="F156" s="34">
        <v>270</v>
      </c>
      <c r="G156" s="34">
        <v>90</v>
      </c>
      <c r="H156" s="20">
        <f t="shared" si="42"/>
        <v>36</v>
      </c>
      <c r="I156" s="20">
        <f t="shared" si="43"/>
        <v>3</v>
      </c>
      <c r="M156" s="18"/>
      <c r="Q156" s="23"/>
    </row>
    <row r="157" spans="1:19">
      <c r="A157" s="24" t="s">
        <v>293</v>
      </c>
      <c r="B157" s="16" t="s">
        <v>294</v>
      </c>
      <c r="C157" s="17">
        <f t="shared" si="64"/>
        <v>3.6</v>
      </c>
      <c r="D157" s="18">
        <v>3.6</v>
      </c>
      <c r="E157" s="18"/>
      <c r="F157" s="34">
        <v>7.2</v>
      </c>
      <c r="G157" s="34">
        <v>62.36</v>
      </c>
      <c r="H157" s="20">
        <f t="shared" si="42"/>
        <v>19.322222222222223</v>
      </c>
      <c r="I157" s="20">
        <f t="shared" si="43"/>
        <v>1.6101851851851852</v>
      </c>
    </row>
    <row r="158" spans="1:19">
      <c r="A158" s="24" t="s">
        <v>295</v>
      </c>
      <c r="B158" s="16" t="s">
        <v>296</v>
      </c>
      <c r="C158" s="17">
        <f t="shared" si="64"/>
        <v>1.95</v>
      </c>
      <c r="D158" s="18">
        <v>1.95</v>
      </c>
      <c r="E158" s="18"/>
      <c r="F158" s="34">
        <v>62.4</v>
      </c>
      <c r="G158" s="34">
        <v>31.2</v>
      </c>
      <c r="H158" s="20">
        <f t="shared" si="42"/>
        <v>48</v>
      </c>
      <c r="I158" s="20">
        <f t="shared" si="43"/>
        <v>4</v>
      </c>
    </row>
    <row r="159" spans="1:19">
      <c r="A159" s="24" t="s">
        <v>297</v>
      </c>
      <c r="B159" s="16" t="s">
        <v>298</v>
      </c>
      <c r="C159" s="17">
        <f t="shared" si="64"/>
        <v>3.2057000000000002</v>
      </c>
      <c r="D159" s="18">
        <f>D158+(0.29*4.33)</f>
        <v>3.2057000000000002</v>
      </c>
      <c r="E159" s="18"/>
      <c r="F159" s="34">
        <v>25.68</v>
      </c>
      <c r="G159" s="34">
        <v>11.24</v>
      </c>
      <c r="H159" s="20">
        <f t="shared" si="42"/>
        <v>11.516985369810026</v>
      </c>
      <c r="I159" s="20">
        <f t="shared" si="43"/>
        <v>0.95974878081750215</v>
      </c>
    </row>
    <row r="160" spans="1:19">
      <c r="A160" s="24" t="s">
        <v>299</v>
      </c>
      <c r="B160" s="16" t="s">
        <v>300</v>
      </c>
      <c r="C160" s="17">
        <f t="shared" si="64"/>
        <v>4.4614000000000003</v>
      </c>
      <c r="D160" s="26">
        <f>D159+(0.29*4.33)</f>
        <v>4.4614000000000003</v>
      </c>
      <c r="E160" s="26"/>
      <c r="F160" s="34">
        <v>0</v>
      </c>
      <c r="G160" s="34">
        <v>22.92</v>
      </c>
      <c r="H160" s="20">
        <f t="shared" si="42"/>
        <v>5.1374008158873901</v>
      </c>
      <c r="I160" s="20">
        <f t="shared" si="43"/>
        <v>0.4281167346572825</v>
      </c>
      <c r="M160" s="5"/>
    </row>
    <row r="161" spans="1:13">
      <c r="A161" s="24" t="s">
        <v>301</v>
      </c>
      <c r="B161" s="16" t="s">
        <v>302</v>
      </c>
      <c r="C161" s="17">
        <f t="shared" si="64"/>
        <v>5.7171000000000003</v>
      </c>
      <c r="D161" s="18">
        <f>D160+(0.29*4.33)</f>
        <v>5.7171000000000003</v>
      </c>
      <c r="E161" s="18"/>
      <c r="F161" s="34">
        <v>55.92</v>
      </c>
      <c r="G161" s="34">
        <v>27.96</v>
      </c>
      <c r="H161" s="20">
        <f t="shared" si="42"/>
        <v>14.671774151230519</v>
      </c>
      <c r="I161" s="20">
        <f t="shared" si="43"/>
        <v>1.2226478459358765</v>
      </c>
      <c r="M161" s="5"/>
    </row>
    <row r="162" spans="1:13">
      <c r="A162" s="24" t="s">
        <v>303</v>
      </c>
      <c r="B162" s="16" t="s">
        <v>304</v>
      </c>
      <c r="C162" s="17">
        <f t="shared" si="64"/>
        <v>5.25</v>
      </c>
      <c r="D162" s="18">
        <f>3.5*1.5</f>
        <v>5.25</v>
      </c>
      <c r="E162" s="18"/>
      <c r="F162" s="34">
        <v>3492.3</v>
      </c>
      <c r="G162" s="34">
        <v>1544.55</v>
      </c>
      <c r="H162" s="20">
        <f t="shared" si="42"/>
        <v>959.40000000000009</v>
      </c>
      <c r="I162" s="20">
        <f t="shared" si="43"/>
        <v>79.95</v>
      </c>
    </row>
    <row r="163" spans="1:13">
      <c r="A163" s="24" t="s">
        <v>305</v>
      </c>
      <c r="B163" s="16" t="s">
        <v>306</v>
      </c>
      <c r="C163" s="17">
        <v>3.5</v>
      </c>
      <c r="D163" s="18">
        <v>3.5</v>
      </c>
      <c r="E163" s="18"/>
      <c r="F163" s="34">
        <v>21</v>
      </c>
      <c r="G163" s="34">
        <v>10.5</v>
      </c>
      <c r="H163" s="20">
        <f t="shared" si="42"/>
        <v>9</v>
      </c>
      <c r="I163" s="20">
        <f t="shared" si="43"/>
        <v>0.75</v>
      </c>
    </row>
    <row r="164" spans="1:13">
      <c r="A164" s="24" t="s">
        <v>307</v>
      </c>
      <c r="B164" s="16" t="s">
        <v>308</v>
      </c>
      <c r="C164" s="17">
        <f>D164</f>
        <v>7</v>
      </c>
      <c r="D164" s="18">
        <f>3.5*2</f>
        <v>7</v>
      </c>
      <c r="E164" s="18"/>
      <c r="F164" s="34">
        <v>922.25</v>
      </c>
      <c r="G164" s="34">
        <v>499.89</v>
      </c>
      <c r="H164" s="20">
        <f t="shared" si="42"/>
        <v>203.16285714285715</v>
      </c>
      <c r="I164" s="20">
        <f t="shared" si="43"/>
        <v>16.930238095238096</v>
      </c>
      <c r="M164" s="8"/>
    </row>
    <row r="165" spans="1:13">
      <c r="A165" s="24" t="s">
        <v>309</v>
      </c>
      <c r="B165" s="16" t="s">
        <v>310</v>
      </c>
      <c r="C165" s="17">
        <f>C163*3</f>
        <v>10.5</v>
      </c>
      <c r="D165" s="18">
        <f>D163*3</f>
        <v>10.5</v>
      </c>
      <c r="E165" s="18"/>
      <c r="F165" s="34">
        <v>31.5</v>
      </c>
      <c r="G165" s="34">
        <v>0</v>
      </c>
      <c r="H165" s="20">
        <f t="shared" si="42"/>
        <v>3</v>
      </c>
      <c r="I165" s="20">
        <f t="shared" si="43"/>
        <v>0.25</v>
      </c>
    </row>
    <row r="166" spans="1:13">
      <c r="A166" s="24" t="s">
        <v>311</v>
      </c>
      <c r="B166" s="16" t="s">
        <v>312</v>
      </c>
      <c r="C166" s="17">
        <f>C163*4</f>
        <v>14</v>
      </c>
      <c r="D166" s="18">
        <f>D163*4</f>
        <v>14</v>
      </c>
      <c r="E166" s="18"/>
      <c r="F166" s="34">
        <v>42</v>
      </c>
      <c r="G166" s="34">
        <v>0</v>
      </c>
      <c r="H166" s="20">
        <f t="shared" si="42"/>
        <v>3</v>
      </c>
      <c r="I166" s="20">
        <f t="shared" si="43"/>
        <v>0.25</v>
      </c>
    </row>
    <row r="167" spans="1:13">
      <c r="A167" s="24" t="s">
        <v>313</v>
      </c>
      <c r="B167" s="16" t="s">
        <v>314</v>
      </c>
      <c r="C167" s="17">
        <f>C163*6</f>
        <v>21</v>
      </c>
      <c r="D167" s="18">
        <f>D163*6</f>
        <v>21</v>
      </c>
      <c r="E167" s="18"/>
      <c r="F167" s="34">
        <v>105</v>
      </c>
      <c r="G167" s="34">
        <f>21+21</f>
        <v>42</v>
      </c>
      <c r="H167" s="20">
        <f t="shared" si="42"/>
        <v>7</v>
      </c>
      <c r="I167" s="20">
        <f t="shared" si="43"/>
        <v>0.58333333333333337</v>
      </c>
    </row>
    <row r="168" spans="1:13">
      <c r="A168" s="24" t="s">
        <v>283</v>
      </c>
      <c r="B168" s="16" t="s">
        <v>315</v>
      </c>
      <c r="C168" s="17">
        <f t="shared" ref="C168:C176" si="65">D168</f>
        <v>3.5</v>
      </c>
      <c r="D168" s="18">
        <v>3.5</v>
      </c>
      <c r="E168" s="18"/>
      <c r="F168" s="34">
        <v>2027.6</v>
      </c>
      <c r="G168" s="34">
        <v>922.6</v>
      </c>
      <c r="H168" s="20">
        <f t="shared" si="42"/>
        <v>842.91428571428571</v>
      </c>
      <c r="I168" s="20">
        <f t="shared" si="43"/>
        <v>70.242857142857147</v>
      </c>
    </row>
    <row r="169" spans="1:13">
      <c r="A169" s="24" t="s">
        <v>316</v>
      </c>
      <c r="B169" s="16" t="s">
        <v>317</v>
      </c>
      <c r="C169" s="17">
        <f t="shared" si="65"/>
        <v>21.5</v>
      </c>
      <c r="D169" s="18">
        <v>21.5</v>
      </c>
      <c r="E169" s="18"/>
      <c r="F169" s="34">
        <v>236.5</v>
      </c>
      <c r="G169" s="34">
        <v>86</v>
      </c>
      <c r="H169" s="20">
        <f t="shared" si="42"/>
        <v>15</v>
      </c>
      <c r="I169" s="20">
        <f t="shared" si="43"/>
        <v>1.25</v>
      </c>
    </row>
    <row r="170" spans="1:13">
      <c r="A170" s="24" t="s">
        <v>318</v>
      </c>
      <c r="B170" s="16" t="s">
        <v>319</v>
      </c>
      <c r="C170" s="17">
        <f t="shared" si="65"/>
        <v>21.5</v>
      </c>
      <c r="D170" s="18">
        <f>D169</f>
        <v>21.5</v>
      </c>
      <c r="E170" s="18"/>
      <c r="F170" s="34">
        <v>279.5</v>
      </c>
      <c r="G170" s="34">
        <v>107.5</v>
      </c>
      <c r="H170" s="20">
        <f t="shared" si="42"/>
        <v>18</v>
      </c>
      <c r="I170" s="20">
        <f t="shared" si="43"/>
        <v>1.5</v>
      </c>
    </row>
    <row r="171" spans="1:13">
      <c r="A171" s="24" t="s">
        <v>320</v>
      </c>
      <c r="B171" s="16" t="s">
        <v>321</v>
      </c>
      <c r="C171" s="17">
        <f t="shared" si="65"/>
        <v>21.5</v>
      </c>
      <c r="D171" s="18">
        <f>D169</f>
        <v>21.5</v>
      </c>
      <c r="E171" s="18"/>
      <c r="F171" s="34">
        <v>3655</v>
      </c>
      <c r="G171" s="34">
        <v>1720</v>
      </c>
      <c r="H171" s="20">
        <f t="shared" si="42"/>
        <v>250</v>
      </c>
      <c r="I171" s="20">
        <f t="shared" si="43"/>
        <v>20.833333333333332</v>
      </c>
    </row>
    <row r="172" spans="1:13">
      <c r="A172" s="24" t="s">
        <v>322</v>
      </c>
      <c r="B172" s="16" t="s">
        <v>323</v>
      </c>
      <c r="C172" s="17">
        <f t="shared" si="65"/>
        <v>21.5</v>
      </c>
      <c r="D172" s="18">
        <f>D169</f>
        <v>21.5</v>
      </c>
      <c r="E172" s="18"/>
      <c r="F172" s="34">
        <v>86</v>
      </c>
      <c r="G172" s="34">
        <v>21.5</v>
      </c>
      <c r="H172" s="20">
        <f t="shared" si="42"/>
        <v>5</v>
      </c>
      <c r="I172" s="20">
        <f t="shared" si="43"/>
        <v>0.41666666666666669</v>
      </c>
    </row>
    <row r="173" spans="1:13">
      <c r="A173" s="24" t="s">
        <v>324</v>
      </c>
      <c r="B173" s="16" t="s">
        <v>325</v>
      </c>
      <c r="C173" s="17">
        <f t="shared" si="65"/>
        <v>21.5</v>
      </c>
      <c r="D173" s="18">
        <f>D169</f>
        <v>21.5</v>
      </c>
      <c r="E173" s="18"/>
      <c r="F173" s="34">
        <v>107.5</v>
      </c>
      <c r="G173" s="34">
        <v>0</v>
      </c>
      <c r="H173" s="20">
        <f t="shared" si="42"/>
        <v>5</v>
      </c>
      <c r="I173" s="20">
        <f t="shared" si="43"/>
        <v>0.41666666666666669</v>
      </c>
    </row>
    <row r="174" spans="1:13">
      <c r="A174" s="24" t="s">
        <v>326</v>
      </c>
      <c r="B174" s="16" t="s">
        <v>327</v>
      </c>
      <c r="C174" s="17">
        <f t="shared" si="65"/>
        <v>40.5</v>
      </c>
      <c r="D174" s="18">
        <v>40.5</v>
      </c>
      <c r="E174" s="18"/>
      <c r="F174" s="34">
        <v>202.5</v>
      </c>
      <c r="G174" s="34">
        <f>81+41</f>
        <v>122</v>
      </c>
      <c r="H174" s="20">
        <f t="shared" si="42"/>
        <v>8.0123456790123448</v>
      </c>
      <c r="I174" s="20">
        <f t="shared" si="43"/>
        <v>0.66769547325102874</v>
      </c>
    </row>
    <row r="175" spans="1:13" s="5" customFormat="1">
      <c r="A175" s="24" t="s">
        <v>328</v>
      </c>
      <c r="B175" s="24" t="s">
        <v>329</v>
      </c>
      <c r="C175" s="25">
        <f t="shared" si="65"/>
        <v>21.5</v>
      </c>
      <c r="D175" s="18">
        <v>21.5</v>
      </c>
      <c r="E175" s="18"/>
      <c r="F175" s="34">
        <v>250.24</v>
      </c>
      <c r="G175" s="34">
        <v>43</v>
      </c>
      <c r="H175" s="20">
        <f t="shared" si="42"/>
        <v>13.63906976744186</v>
      </c>
      <c r="I175" s="20">
        <f t="shared" si="43"/>
        <v>1.1365891472868217</v>
      </c>
    </row>
    <row r="176" spans="1:13">
      <c r="A176" s="24" t="s">
        <v>330</v>
      </c>
      <c r="B176" s="16" t="s">
        <v>331</v>
      </c>
      <c r="C176" s="17">
        <f t="shared" si="65"/>
        <v>12</v>
      </c>
      <c r="D176" s="18">
        <v>12</v>
      </c>
      <c r="E176" s="18"/>
      <c r="F176" s="34">
        <v>3708</v>
      </c>
      <c r="G176" s="34">
        <f>1056+12</f>
        <v>1068</v>
      </c>
      <c r="H176" s="20">
        <f t="shared" si="42"/>
        <v>398</v>
      </c>
      <c r="I176" s="20">
        <f t="shared" si="43"/>
        <v>33.166666666666664</v>
      </c>
    </row>
    <row r="177" spans="1:19">
      <c r="A177" s="24" t="s">
        <v>332</v>
      </c>
      <c r="B177" s="16" t="s">
        <v>333</v>
      </c>
      <c r="C177" s="17">
        <v>6</v>
      </c>
      <c r="D177" s="18">
        <v>6</v>
      </c>
      <c r="E177" s="18"/>
      <c r="F177" s="34">
        <v>0</v>
      </c>
      <c r="G177" s="34">
        <v>12</v>
      </c>
      <c r="H177" s="20">
        <f t="shared" si="42"/>
        <v>2</v>
      </c>
      <c r="I177" s="20">
        <f t="shared" si="43"/>
        <v>0.16666666666666666</v>
      </c>
    </row>
    <row r="178" spans="1:19">
      <c r="A178" s="24" t="s">
        <v>334</v>
      </c>
      <c r="B178" s="16" t="s">
        <v>335</v>
      </c>
      <c r="C178" s="17">
        <f>D178</f>
        <v>7</v>
      </c>
      <c r="D178" s="18">
        <v>7</v>
      </c>
      <c r="E178" s="18"/>
      <c r="F178" s="34">
        <v>7</v>
      </c>
      <c r="G178" s="34">
        <v>42</v>
      </c>
      <c r="H178" s="20">
        <f t="shared" si="42"/>
        <v>7</v>
      </c>
      <c r="I178" s="20">
        <f t="shared" si="43"/>
        <v>0.58333333333333337</v>
      </c>
    </row>
    <row r="179" spans="1:19">
      <c r="A179" s="24" t="s">
        <v>336</v>
      </c>
      <c r="B179" s="16" t="s">
        <v>337</v>
      </c>
      <c r="C179" s="17">
        <v>9</v>
      </c>
      <c r="D179" s="18">
        <v>9</v>
      </c>
      <c r="E179" s="18"/>
      <c r="F179" s="34">
        <v>0</v>
      </c>
      <c r="G179" s="34">
        <v>0</v>
      </c>
      <c r="H179" s="20">
        <f t="shared" si="42"/>
        <v>0</v>
      </c>
      <c r="I179" s="20">
        <f t="shared" si="43"/>
        <v>0</v>
      </c>
    </row>
    <row r="180" spans="1:19">
      <c r="A180" s="24" t="s">
        <v>338</v>
      </c>
      <c r="B180" s="16" t="s">
        <v>339</v>
      </c>
      <c r="C180" s="17">
        <f>D180</f>
        <v>6</v>
      </c>
      <c r="D180" s="18">
        <v>6</v>
      </c>
      <c r="E180" s="18"/>
      <c r="F180" s="34">
        <v>604.20000000000005</v>
      </c>
      <c r="G180" s="34">
        <v>222.6</v>
      </c>
      <c r="H180" s="20">
        <f t="shared" si="42"/>
        <v>137.80000000000001</v>
      </c>
      <c r="I180" s="20">
        <f t="shared" si="43"/>
        <v>11.483333333333334</v>
      </c>
    </row>
    <row r="181" spans="1:19">
      <c r="A181" s="24" t="s">
        <v>340</v>
      </c>
      <c r="B181" s="16" t="s">
        <v>341</v>
      </c>
      <c r="C181" s="17">
        <v>62.17</v>
      </c>
      <c r="D181" s="18">
        <v>63.27</v>
      </c>
      <c r="E181" s="18"/>
      <c r="F181" s="34">
        <v>808.21</v>
      </c>
      <c r="G181" s="34">
        <v>379.62</v>
      </c>
      <c r="H181" s="20">
        <f t="shared" si="42"/>
        <v>19</v>
      </c>
      <c r="I181" s="20">
        <f t="shared" si="43"/>
        <v>1.5833333333333333</v>
      </c>
      <c r="J181" s="1">
        <v>1</v>
      </c>
      <c r="K181" s="22">
        <f>H181*J181</f>
        <v>19</v>
      </c>
      <c r="L181" s="1">
        <v>250</v>
      </c>
      <c r="M181" s="19">
        <f t="shared" ref="M181:M188" si="66">K181*L181</f>
        <v>4750</v>
      </c>
      <c r="N181" s="19">
        <f t="shared" ref="N181:N188" si="67">M181*$M$199</f>
        <v>3916.4996694321408</v>
      </c>
      <c r="O181" s="23">
        <f t="shared" ref="O181:O188" si="68">N181*$O$5</f>
        <v>4.5039746198469288</v>
      </c>
      <c r="P181" s="21">
        <f>O181/$P$5</f>
        <v>4.5924949602048777</v>
      </c>
      <c r="Q181" s="23">
        <f t="shared" ref="Q181:Q188" si="69">P181/K181</f>
        <v>0.24171026106341462</v>
      </c>
      <c r="S181" s="21">
        <f t="shared" ref="S181:S188" si="70">H181*J181*Q181</f>
        <v>4.5924949602048777</v>
      </c>
    </row>
    <row r="182" spans="1:19">
      <c r="A182" s="24" t="s">
        <v>342</v>
      </c>
      <c r="B182" s="16" t="s">
        <v>343</v>
      </c>
      <c r="C182" s="17">
        <v>56.82</v>
      </c>
      <c r="D182" s="18">
        <v>57.59</v>
      </c>
      <c r="E182" s="18"/>
      <c r="F182" s="34">
        <v>1875.06</v>
      </c>
      <c r="G182" s="34">
        <f>1209.39+58</f>
        <v>1267.3900000000001</v>
      </c>
      <c r="H182" s="20">
        <f t="shared" si="42"/>
        <v>55.007119291543674</v>
      </c>
      <c r="I182" s="20">
        <f t="shared" si="43"/>
        <v>4.5839266076286398</v>
      </c>
      <c r="J182" s="1">
        <v>1</v>
      </c>
      <c r="K182" s="22">
        <f t="shared" ref="K182:K188" si="71">H182*J182</f>
        <v>55.007119291543674</v>
      </c>
      <c r="L182" s="1">
        <v>175</v>
      </c>
      <c r="M182" s="19">
        <f t="shared" si="66"/>
        <v>9626.2458760201425</v>
      </c>
      <c r="N182" s="19">
        <f t="shared" si="67"/>
        <v>7937.0923771169255</v>
      </c>
      <c r="O182" s="23">
        <f t="shared" si="68"/>
        <v>9.1276562336843963</v>
      </c>
      <c r="P182" s="21">
        <f t="shared" ref="P182:P188" si="72">O182/$P$5</f>
        <v>9.3070496150137867</v>
      </c>
      <c r="Q182" s="23">
        <f t="shared" si="69"/>
        <v>0.16919718274439019</v>
      </c>
      <c r="S182" s="21">
        <f t="shared" si="70"/>
        <v>9.3070496150137867</v>
      </c>
    </row>
    <row r="183" spans="1:19">
      <c r="A183" s="24" t="s">
        <v>344</v>
      </c>
      <c r="B183" s="16" t="s">
        <v>345</v>
      </c>
      <c r="C183" s="17">
        <v>68.52</v>
      </c>
      <c r="D183" s="18">
        <v>69.95</v>
      </c>
      <c r="E183" s="18"/>
      <c r="F183" s="34">
        <f>3083.4+69</f>
        <v>3152.4</v>
      </c>
      <c r="G183" s="34">
        <f>1399+70</f>
        <v>1469</v>
      </c>
      <c r="H183" s="20">
        <f t="shared" si="42"/>
        <v>67.007720050223526</v>
      </c>
      <c r="I183" s="20">
        <f t="shared" si="43"/>
        <v>5.5839766708519605</v>
      </c>
      <c r="J183" s="1">
        <v>1</v>
      </c>
      <c r="K183" s="22">
        <f t="shared" si="71"/>
        <v>67.007720050223526</v>
      </c>
      <c r="L183" s="1">
        <v>324</v>
      </c>
      <c r="M183" s="19">
        <f t="shared" si="66"/>
        <v>21710.501296272421</v>
      </c>
      <c r="N183" s="19">
        <f t="shared" si="67"/>
        <v>17900.878136854106</v>
      </c>
      <c r="O183" s="23">
        <f t="shared" si="68"/>
        <v>20.58600985738207</v>
      </c>
      <c r="P183" s="21">
        <f t="shared" si="72"/>
        <v>20.990603744558435</v>
      </c>
      <c r="Q183" s="23">
        <f t="shared" si="69"/>
        <v>0.31325649833818536</v>
      </c>
      <c r="S183" s="21">
        <f t="shared" si="70"/>
        <v>20.990603744558435</v>
      </c>
    </row>
    <row r="184" spans="1:19">
      <c r="A184" s="24" t="s">
        <v>346</v>
      </c>
      <c r="B184" s="16" t="s">
        <v>347</v>
      </c>
      <c r="C184" s="17">
        <v>77.209999999999994</v>
      </c>
      <c r="D184" s="18">
        <v>79.3</v>
      </c>
      <c r="E184" s="18"/>
      <c r="F184" s="34">
        <v>926.52</v>
      </c>
      <c r="G184" s="34">
        <v>713.7</v>
      </c>
      <c r="H184" s="20">
        <f t="shared" si="42"/>
        <v>21</v>
      </c>
      <c r="I184" s="20">
        <f t="shared" si="43"/>
        <v>1.75</v>
      </c>
      <c r="J184" s="1">
        <v>1</v>
      </c>
      <c r="K184" s="22">
        <f t="shared" si="71"/>
        <v>21</v>
      </c>
      <c r="L184" s="1">
        <v>473</v>
      </c>
      <c r="M184" s="19">
        <f t="shared" si="66"/>
        <v>9933</v>
      </c>
      <c r="N184" s="19">
        <f t="shared" si="67"/>
        <v>8190.0192034672536</v>
      </c>
      <c r="O184" s="23">
        <f t="shared" si="68"/>
        <v>9.4185220839872716</v>
      </c>
      <c r="P184" s="21">
        <f t="shared" si="72"/>
        <v>9.6036320925715888</v>
      </c>
      <c r="Q184" s="23">
        <f t="shared" si="69"/>
        <v>0.4573158139319804</v>
      </c>
      <c r="S184" s="21">
        <f t="shared" si="70"/>
        <v>9.6036320925715888</v>
      </c>
    </row>
    <row r="185" spans="1:19">
      <c r="A185" s="24" t="s">
        <v>348</v>
      </c>
      <c r="B185" s="16" t="s">
        <v>349</v>
      </c>
      <c r="C185" s="17">
        <v>87.87</v>
      </c>
      <c r="D185" s="18">
        <v>90.57</v>
      </c>
      <c r="E185" s="18"/>
      <c r="F185" s="34">
        <v>4305.63</v>
      </c>
      <c r="G185" s="34">
        <v>1992.54</v>
      </c>
      <c r="H185" s="20">
        <f t="shared" si="42"/>
        <v>71</v>
      </c>
      <c r="I185" s="20">
        <f t="shared" si="43"/>
        <v>5.916666666666667</v>
      </c>
      <c r="J185" s="1">
        <v>1</v>
      </c>
      <c r="K185" s="22">
        <f t="shared" si="71"/>
        <v>71</v>
      </c>
      <c r="L185" s="1">
        <v>613</v>
      </c>
      <c r="M185" s="19">
        <f t="shared" si="66"/>
        <v>43523</v>
      </c>
      <c r="N185" s="19">
        <f t="shared" si="67"/>
        <v>35885.855813198963</v>
      </c>
      <c r="O185" s="23">
        <f t="shared" si="68"/>
        <v>41.268734185178502</v>
      </c>
      <c r="P185" s="21">
        <f t="shared" si="72"/>
        <v>42.079822769051979</v>
      </c>
      <c r="Q185" s="23">
        <f t="shared" si="69"/>
        <v>0.59267356012749262</v>
      </c>
      <c r="S185" s="21">
        <f t="shared" si="70"/>
        <v>42.079822769051972</v>
      </c>
    </row>
    <row r="186" spans="1:19">
      <c r="A186" s="24" t="s">
        <v>350</v>
      </c>
      <c r="B186" s="16" t="s">
        <v>351</v>
      </c>
      <c r="C186" s="17">
        <v>101.93</v>
      </c>
      <c r="D186" s="18">
        <v>105.64</v>
      </c>
      <c r="E186" s="18"/>
      <c r="F186" s="34">
        <v>10574.8</v>
      </c>
      <c r="G186" s="34">
        <v>2104.52</v>
      </c>
      <c r="H186" s="20">
        <f t="shared" si="42"/>
        <v>123.66732843697108</v>
      </c>
      <c r="I186" s="20">
        <f t="shared" si="43"/>
        <v>10.305610703080923</v>
      </c>
      <c r="J186" s="1">
        <v>1</v>
      </c>
      <c r="K186" s="22">
        <f t="shared" si="71"/>
        <v>123.66732843697108</v>
      </c>
      <c r="L186" s="1">
        <v>840</v>
      </c>
      <c r="M186" s="19">
        <f t="shared" si="66"/>
        <v>103880.5558870557</v>
      </c>
      <c r="N186" s="19">
        <f t="shared" si="67"/>
        <v>85652.244798332773</v>
      </c>
      <c r="O186" s="23">
        <f t="shared" si="68"/>
        <v>98.500081518081956</v>
      </c>
      <c r="P186" s="21">
        <f t="shared" si="72"/>
        <v>100.43598513149146</v>
      </c>
      <c r="Q186" s="23">
        <f t="shared" si="69"/>
        <v>0.81214647717307309</v>
      </c>
      <c r="S186" s="21">
        <f t="shared" si="70"/>
        <v>100.43598513149146</v>
      </c>
    </row>
    <row r="187" spans="1:19">
      <c r="A187" s="24" t="s">
        <v>352</v>
      </c>
      <c r="B187" s="16" t="s">
        <v>353</v>
      </c>
      <c r="C187" s="17">
        <v>14.49</v>
      </c>
      <c r="D187" s="18">
        <v>14.8</v>
      </c>
      <c r="E187" s="18"/>
      <c r="F187" s="34">
        <v>188.37</v>
      </c>
      <c r="G187" s="34">
        <v>0</v>
      </c>
      <c r="H187" s="20">
        <f t="shared" si="42"/>
        <v>13</v>
      </c>
      <c r="I187" s="20">
        <f t="shared" si="43"/>
        <v>1.0833333333333333</v>
      </c>
      <c r="J187" s="1">
        <v>1</v>
      </c>
      <c r="K187" s="22">
        <f t="shared" si="71"/>
        <v>13</v>
      </c>
      <c r="L187" s="1">
        <v>47</v>
      </c>
      <c r="M187" s="19">
        <f t="shared" si="66"/>
        <v>611</v>
      </c>
      <c r="N187" s="19">
        <f t="shared" si="67"/>
        <v>503.78553642590271</v>
      </c>
      <c r="O187" s="23">
        <f t="shared" si="68"/>
        <v>0.57935336688978389</v>
      </c>
      <c r="P187" s="21">
        <f t="shared" si="72"/>
        <v>0.59073987803898531</v>
      </c>
      <c r="Q187" s="23">
        <f t="shared" si="69"/>
        <v>4.5441529079921945E-2</v>
      </c>
      <c r="S187" s="21">
        <f t="shared" si="70"/>
        <v>0.59073987803898531</v>
      </c>
    </row>
    <row r="188" spans="1:19">
      <c r="A188" s="24" t="s">
        <v>354</v>
      </c>
      <c r="B188" s="16" t="s">
        <v>355</v>
      </c>
      <c r="C188" s="17">
        <v>17.940000000000001</v>
      </c>
      <c r="D188" s="18">
        <v>18.41</v>
      </c>
      <c r="E188" s="18"/>
      <c r="F188" s="34">
        <v>89.7</v>
      </c>
      <c r="G188" s="34">
        <v>18.41</v>
      </c>
      <c r="H188" s="20">
        <f t="shared" si="42"/>
        <v>6</v>
      </c>
      <c r="I188" s="20">
        <f t="shared" si="43"/>
        <v>0.5</v>
      </c>
      <c r="J188" s="1">
        <v>1</v>
      </c>
      <c r="K188" s="22">
        <f t="shared" si="71"/>
        <v>6</v>
      </c>
      <c r="L188" s="1">
        <v>68</v>
      </c>
      <c r="M188" s="19">
        <f t="shared" si="66"/>
        <v>408</v>
      </c>
      <c r="N188" s="19">
        <f t="shared" si="67"/>
        <v>336.40670844806596</v>
      </c>
      <c r="O188" s="23">
        <f t="shared" si="68"/>
        <v>0.38686771471527298</v>
      </c>
      <c r="P188" s="21">
        <f t="shared" si="72"/>
        <v>0.39447114605549261</v>
      </c>
      <c r="Q188" s="23">
        <f t="shared" si="69"/>
        <v>6.5745191009248763E-2</v>
      </c>
      <c r="S188" s="21">
        <f t="shared" si="70"/>
        <v>0.39447114605549261</v>
      </c>
    </row>
    <row r="189" spans="1:19">
      <c r="A189" s="24" t="s">
        <v>356</v>
      </c>
      <c r="B189" s="16" t="s">
        <v>357</v>
      </c>
      <c r="C189" s="17">
        <v>11.04</v>
      </c>
      <c r="D189" s="18">
        <v>11.19</v>
      </c>
      <c r="E189" s="18"/>
      <c r="F189" s="34">
        <v>165.6</v>
      </c>
      <c r="G189" s="34">
        <v>33.57</v>
      </c>
      <c r="H189" s="20">
        <f t="shared" si="42"/>
        <v>18</v>
      </c>
      <c r="I189" s="20">
        <f t="shared" si="43"/>
        <v>1.5</v>
      </c>
    </row>
    <row r="190" spans="1:19">
      <c r="A190" s="24" t="s">
        <v>358</v>
      </c>
      <c r="B190" s="16" t="s">
        <v>359</v>
      </c>
      <c r="C190" s="17">
        <f>D190</f>
        <v>85</v>
      </c>
      <c r="D190" s="18">
        <v>85</v>
      </c>
      <c r="E190" s="18"/>
      <c r="F190" s="34">
        <v>21632.5</v>
      </c>
      <c r="G190" s="34">
        <v>8372.5</v>
      </c>
      <c r="H190" s="20">
        <f t="shared" si="42"/>
        <v>353</v>
      </c>
      <c r="I190" s="20">
        <f t="shared" si="43"/>
        <v>29.416666666666668</v>
      </c>
    </row>
    <row r="191" spans="1:19" s="5" customFormat="1">
      <c r="A191" s="24" t="s">
        <v>360</v>
      </c>
      <c r="B191" s="24" t="s">
        <v>136</v>
      </c>
      <c r="C191" s="25">
        <v>90</v>
      </c>
      <c r="D191" s="18">
        <v>90</v>
      </c>
      <c r="E191" s="18"/>
      <c r="F191" s="34">
        <v>180</v>
      </c>
      <c r="G191" s="34">
        <v>0</v>
      </c>
      <c r="H191" s="20">
        <f t="shared" si="42"/>
        <v>2</v>
      </c>
      <c r="I191" s="20">
        <f t="shared" si="43"/>
        <v>0.16666666666666666</v>
      </c>
    </row>
    <row r="192" spans="1:19" s="5" customFormat="1">
      <c r="A192" s="24" t="s">
        <v>361</v>
      </c>
      <c r="B192" s="24" t="s">
        <v>362</v>
      </c>
      <c r="C192" s="25">
        <f>D192</f>
        <v>5.0999999999999996</v>
      </c>
      <c r="D192" s="18">
        <v>5.0999999999999996</v>
      </c>
      <c r="E192" s="18"/>
      <c r="F192" s="34">
        <v>25907.95</v>
      </c>
      <c r="G192" s="34">
        <v>13102.75</v>
      </c>
      <c r="H192" s="20">
        <f t="shared" si="42"/>
        <v>7649.1568627450988</v>
      </c>
      <c r="I192" s="20">
        <f t="shared" si="43"/>
        <v>637.42973856209153</v>
      </c>
    </row>
    <row r="193" spans="1:19">
      <c r="A193" s="24" t="s">
        <v>363</v>
      </c>
      <c r="B193" s="24" t="s">
        <v>364</v>
      </c>
      <c r="C193" s="17">
        <v>10</v>
      </c>
      <c r="D193" s="18">
        <v>10</v>
      </c>
      <c r="E193" s="18"/>
      <c r="F193" s="34">
        <v>10</v>
      </c>
      <c r="G193" s="34">
        <v>7.02</v>
      </c>
      <c r="H193" s="20">
        <f t="shared" si="42"/>
        <v>1.702</v>
      </c>
      <c r="I193" s="20">
        <f t="shared" si="43"/>
        <v>0.14183333333333334</v>
      </c>
    </row>
    <row r="194" spans="1:19">
      <c r="A194" s="24" t="s">
        <v>365</v>
      </c>
      <c r="B194" s="16" t="s">
        <v>366</v>
      </c>
      <c r="C194" s="17">
        <v>16.350000000000001</v>
      </c>
      <c r="D194" s="28">
        <v>16.350000000000001</v>
      </c>
      <c r="E194" s="28"/>
      <c r="F194" s="34">
        <v>22.39</v>
      </c>
      <c r="G194" s="34">
        <v>0</v>
      </c>
      <c r="H194" s="20">
        <f t="shared" si="42"/>
        <v>1.3694189602446483</v>
      </c>
      <c r="I194" s="20">
        <f t="shared" si="43"/>
        <v>0.11411824668705402</v>
      </c>
    </row>
    <row r="195" spans="1:19">
      <c r="A195" s="24"/>
      <c r="B195" s="27" t="s">
        <v>367</v>
      </c>
      <c r="C195" s="35"/>
      <c r="D195" s="28"/>
      <c r="E195" s="28"/>
      <c r="F195" s="29">
        <f>SUM(F79:F194)</f>
        <v>4000924.5500000031</v>
      </c>
      <c r="G195" s="29">
        <f>SUM(G79:G194)</f>
        <v>2081910.9</v>
      </c>
      <c r="H195" s="20">
        <f>SUM(F195:G195)</f>
        <v>6082835.450000003</v>
      </c>
      <c r="I195" s="20"/>
      <c r="M195" s="109">
        <f t="shared" ref="M195" si="73">SUM(M79:M194)</f>
        <v>65442948.539750025</v>
      </c>
      <c r="N195" s="109">
        <f>SUM(N79:N194)</f>
        <v>53959428.699493811</v>
      </c>
      <c r="O195" s="109">
        <f t="shared" ref="O195:P195" si="74">SUM(O79:O194)</f>
        <v>62053.343004417417</v>
      </c>
      <c r="P195" s="109">
        <f t="shared" si="74"/>
        <v>63272.928705210361</v>
      </c>
      <c r="S195" s="109">
        <f t="shared" ref="S195" si="75">SUM(S79:S194)</f>
        <v>63272.928705210361</v>
      </c>
    </row>
    <row r="196" spans="1:19">
      <c r="A196" s="24"/>
      <c r="B196" s="16"/>
      <c r="C196" s="35"/>
      <c r="D196" s="28"/>
      <c r="E196" s="28"/>
      <c r="F196" s="34"/>
      <c r="G196" s="20">
        <f>F195+G195</f>
        <v>6082835.450000003</v>
      </c>
      <c r="H196" s="20"/>
      <c r="I196" s="20"/>
    </row>
    <row r="197" spans="1:19" s="3" customFormat="1" ht="13.5" thickBot="1">
      <c r="A197" s="2"/>
      <c r="C197" s="10"/>
      <c r="D197" s="36"/>
      <c r="E197" s="36"/>
      <c r="F197" s="37"/>
      <c r="G197" s="38"/>
      <c r="H197" s="2"/>
      <c r="I197" s="2"/>
      <c r="L197" s="10" t="s">
        <v>426</v>
      </c>
      <c r="M197" s="111">
        <f>M195+M72</f>
        <v>160335290.53913003</v>
      </c>
      <c r="N197" s="111">
        <f>N195+N72</f>
        <v>132200655.24101239</v>
      </c>
      <c r="O197" s="111">
        <f t="shared" ref="O197:P197" si="76">O195+O72</f>
        <v>152030.75352716318</v>
      </c>
      <c r="P197" s="111">
        <f t="shared" si="76"/>
        <v>155018.7397355662</v>
      </c>
      <c r="S197" s="111">
        <f t="shared" ref="S197" si="77">S195+S72</f>
        <v>155018.7397355662</v>
      </c>
    </row>
    <row r="198" spans="1:19" ht="13.5" thickTop="1">
      <c r="F198" s="19"/>
      <c r="G198" s="19"/>
      <c r="L198" s="1" t="s">
        <v>427</v>
      </c>
      <c r="M198" s="19">
        <f>'PCR Disposal'!Q22</f>
        <v>132200655.24101242</v>
      </c>
    </row>
    <row r="199" spans="1:19">
      <c r="F199" s="36"/>
      <c r="G199" s="19"/>
      <c r="M199" s="110">
        <f>M198/M197</f>
        <v>0.82452624619624015</v>
      </c>
    </row>
    <row r="200" spans="1:19" ht="13.5" thickBot="1">
      <c r="F200" s="36"/>
      <c r="G200" s="19"/>
    </row>
    <row r="201" spans="1:19">
      <c r="F201" s="36"/>
      <c r="G201" s="19"/>
      <c r="N201" s="178"/>
      <c r="O201" s="179" t="s">
        <v>436</v>
      </c>
      <c r="P201" s="180"/>
    </row>
    <row r="202" spans="1:19" ht="13.5" thickBot="1">
      <c r="B202" s="154" t="s">
        <v>515</v>
      </c>
      <c r="N202" s="181"/>
      <c r="O202" s="182">
        <f>'EQR Disposal'!B29</f>
        <v>1.0300000000000012E-3</v>
      </c>
      <c r="P202" s="183"/>
    </row>
    <row r="204" spans="1:19">
      <c r="F204" s="36"/>
      <c r="G204" s="19"/>
      <c r="I204" s="176" t="s">
        <v>525</v>
      </c>
    </row>
    <row r="205" spans="1:19">
      <c r="B205" s="155" t="s">
        <v>516</v>
      </c>
      <c r="F205" s="36"/>
      <c r="G205" s="19"/>
      <c r="H205" s="20">
        <f>I205*12</f>
        <v>40512</v>
      </c>
      <c r="I205" s="20">
        <f>2596+69+711</f>
        <v>3376</v>
      </c>
      <c r="J205" s="1">
        <v>4.33</v>
      </c>
      <c r="K205" s="19">
        <f>H205*J205</f>
        <v>175416.95999999999</v>
      </c>
      <c r="L205" s="1">
        <v>47</v>
      </c>
      <c r="M205" s="19">
        <f>K205*L205</f>
        <v>8244597.1199999992</v>
      </c>
      <c r="N205" s="19">
        <f>M205*$M$219</f>
        <v>6051250.11433715</v>
      </c>
      <c r="O205" s="19">
        <f>N205*$O$202</f>
        <v>6232.7876177672715</v>
      </c>
      <c r="P205" s="19">
        <f>O205/$P$5</f>
        <v>6355.2857506102846</v>
      </c>
      <c r="Q205" s="23">
        <f>P205/K205</f>
        <v>3.6229596902205376E-2</v>
      </c>
      <c r="S205" s="19">
        <f>Q205*K205</f>
        <v>6355.2857506102837</v>
      </c>
    </row>
    <row r="206" spans="1:19">
      <c r="B206" s="155" t="s">
        <v>517</v>
      </c>
      <c r="F206" s="36"/>
      <c r="G206" s="19"/>
      <c r="H206" s="20">
        <f>I206*12</f>
        <v>9336</v>
      </c>
      <c r="I206" s="20">
        <f>514+114+150</f>
        <v>778</v>
      </c>
      <c r="J206" s="1">
        <v>4.33</v>
      </c>
      <c r="K206" s="19">
        <f t="shared" ref="K206:K215" si="78">H206*J206</f>
        <v>40424.879999999997</v>
      </c>
      <c r="L206" s="1">
        <v>68</v>
      </c>
      <c r="M206" s="19">
        <f t="shared" ref="M206:M207" si="79">K206*L206</f>
        <v>2748891.84</v>
      </c>
      <c r="N206" s="19">
        <f t="shared" ref="N206:N215" si="80">M206*$M$219</f>
        <v>2017591.8627665411</v>
      </c>
      <c r="O206" s="19">
        <f t="shared" ref="O206:O216" si="81">N206*$O$202</f>
        <v>2078.1196186495399</v>
      </c>
      <c r="P206" s="19">
        <f t="shared" ref="P206:P216" si="82">O206/$P$5</f>
        <v>2118.9626232119504</v>
      </c>
      <c r="Q206" s="23">
        <f>P206/K206</f>
        <v>5.2417289135105669E-2</v>
      </c>
      <c r="S206" s="19">
        <f>Q206*K206</f>
        <v>2118.9626232119504</v>
      </c>
    </row>
    <row r="207" spans="1:19" s="5" customFormat="1">
      <c r="B207" s="156" t="s">
        <v>474</v>
      </c>
      <c r="C207" s="6"/>
      <c r="H207" s="20">
        <v>30</v>
      </c>
      <c r="I207" s="20"/>
      <c r="J207" s="5">
        <v>1</v>
      </c>
      <c r="K207" s="20">
        <f t="shared" si="78"/>
        <v>30</v>
      </c>
      <c r="L207" s="5">
        <v>34</v>
      </c>
      <c r="M207" s="20">
        <f t="shared" si="79"/>
        <v>1020</v>
      </c>
      <c r="N207" s="20">
        <f t="shared" si="80"/>
        <v>748.64484301494815</v>
      </c>
      <c r="O207" s="20">
        <f t="shared" si="81"/>
        <v>0.77110418830539751</v>
      </c>
      <c r="P207" s="20">
        <f t="shared" si="82"/>
        <v>0.78625933702658501</v>
      </c>
      <c r="Q207" s="18">
        <f>P207/K207</f>
        <v>2.6208644567552834E-2</v>
      </c>
      <c r="S207" s="20">
        <f>Q207*K207</f>
        <v>0.78625933702658501</v>
      </c>
    </row>
    <row r="208" spans="1:19">
      <c r="B208" s="155"/>
      <c r="H208" s="20"/>
      <c r="I208" s="20"/>
      <c r="K208" s="19"/>
      <c r="M208" s="19"/>
      <c r="N208" s="19"/>
      <c r="O208" s="19">
        <f t="shared" si="81"/>
        <v>0</v>
      </c>
      <c r="P208" s="19">
        <f t="shared" si="82"/>
        <v>0</v>
      </c>
      <c r="Q208" s="23"/>
    </row>
    <row r="209" spans="2:19">
      <c r="B209" s="170" t="s">
        <v>518</v>
      </c>
      <c r="C209" s="171"/>
      <c r="D209" s="172"/>
      <c r="E209" s="172"/>
      <c r="F209" s="172"/>
      <c r="G209" s="172"/>
      <c r="H209" s="173">
        <v>1.0000000000000001E-5</v>
      </c>
      <c r="I209" s="173"/>
      <c r="J209" s="172">
        <v>4.33</v>
      </c>
      <c r="K209" s="173">
        <f t="shared" si="78"/>
        <v>4.3300000000000002E-5</v>
      </c>
      <c r="L209" s="172">
        <v>175</v>
      </c>
      <c r="M209" s="173">
        <f t="shared" ref="M209:M215" si="83">K209*L209</f>
        <v>7.5775E-3</v>
      </c>
      <c r="N209" s="173">
        <f t="shared" si="80"/>
        <v>5.5616238215154606E-3</v>
      </c>
      <c r="O209" s="173">
        <f t="shared" si="81"/>
        <v>5.728472536160931E-6</v>
      </c>
      <c r="P209" s="173">
        <f t="shared" si="82"/>
        <v>5.8410589473715172E-6</v>
      </c>
      <c r="Q209" s="174">
        <f>P209/K209</f>
        <v>0.13489743527416898</v>
      </c>
      <c r="R209" s="172"/>
      <c r="S209" s="173">
        <f t="shared" ref="S209:S212" si="84">Q209*K209</f>
        <v>5.8410589473715172E-6</v>
      </c>
    </row>
    <row r="210" spans="2:19">
      <c r="B210" s="170" t="s">
        <v>519</v>
      </c>
      <c r="C210" s="171"/>
      <c r="D210" s="172"/>
      <c r="E210" s="172"/>
      <c r="F210" s="172"/>
      <c r="G210" s="172"/>
      <c r="H210" s="173">
        <v>1.0000000000000001E-5</v>
      </c>
      <c r="I210" s="173"/>
      <c r="J210" s="172">
        <v>4.33</v>
      </c>
      <c r="K210" s="173">
        <f t="shared" si="78"/>
        <v>4.3300000000000002E-5</v>
      </c>
      <c r="L210" s="172">
        <v>250</v>
      </c>
      <c r="M210" s="173">
        <f t="shared" si="83"/>
        <v>1.0825000000000001E-2</v>
      </c>
      <c r="N210" s="173">
        <f t="shared" si="80"/>
        <v>7.9451768878792302E-3</v>
      </c>
      <c r="O210" s="173">
        <f t="shared" si="81"/>
        <v>8.1835321945156171E-6</v>
      </c>
      <c r="P210" s="173">
        <f t="shared" si="82"/>
        <v>8.3443699248164549E-6</v>
      </c>
      <c r="Q210" s="174">
        <f t="shared" ref="Q210:Q212" si="85">P210/K210</f>
        <v>0.19271062182024146</v>
      </c>
      <c r="R210" s="172"/>
      <c r="S210" s="173">
        <f t="shared" si="84"/>
        <v>8.3443699248164549E-6</v>
      </c>
    </row>
    <row r="211" spans="2:19">
      <c r="B211" s="170" t="s">
        <v>520</v>
      </c>
      <c r="C211" s="171"/>
      <c r="D211" s="172"/>
      <c r="E211" s="172"/>
      <c r="F211" s="172"/>
      <c r="G211" s="172"/>
      <c r="H211" s="173">
        <v>1.0000000000000001E-5</v>
      </c>
      <c r="I211" s="173"/>
      <c r="J211" s="172">
        <v>4.33</v>
      </c>
      <c r="K211" s="173">
        <f t="shared" si="78"/>
        <v>4.3300000000000002E-5</v>
      </c>
      <c r="L211" s="172">
        <v>324</v>
      </c>
      <c r="M211" s="173">
        <f t="shared" si="83"/>
        <v>1.40292E-2</v>
      </c>
      <c r="N211" s="173">
        <f t="shared" si="80"/>
        <v>1.0296949246691481E-2</v>
      </c>
      <c r="O211" s="173">
        <f t="shared" si="81"/>
        <v>1.0605857724092238E-5</v>
      </c>
      <c r="P211" s="173">
        <f t="shared" si="82"/>
        <v>1.0814303422562122E-5</v>
      </c>
      <c r="Q211" s="174">
        <f t="shared" si="85"/>
        <v>0.24975296587903284</v>
      </c>
      <c r="R211" s="172"/>
      <c r="S211" s="173">
        <f t="shared" si="84"/>
        <v>1.0814303422562122E-5</v>
      </c>
    </row>
    <row r="212" spans="2:19">
      <c r="B212" s="170" t="s">
        <v>521</v>
      </c>
      <c r="C212" s="171"/>
      <c r="D212" s="172"/>
      <c r="E212" s="172"/>
      <c r="F212" s="172"/>
      <c r="G212" s="172"/>
      <c r="H212" s="173">
        <v>1.0000000000000001E-5</v>
      </c>
      <c r="I212" s="173"/>
      <c r="J212" s="172">
        <v>4.33</v>
      </c>
      <c r="K212" s="173">
        <f t="shared" si="78"/>
        <v>4.3300000000000002E-5</v>
      </c>
      <c r="L212" s="172">
        <v>473</v>
      </c>
      <c r="M212" s="173">
        <f t="shared" si="83"/>
        <v>2.04809E-2</v>
      </c>
      <c r="N212" s="173">
        <f t="shared" si="80"/>
        <v>1.5032274671867501E-2</v>
      </c>
      <c r="O212" s="173">
        <f t="shared" si="81"/>
        <v>1.5483242912023545E-5</v>
      </c>
      <c r="P212" s="173">
        <f t="shared" si="82"/>
        <v>1.5787547897752731E-5</v>
      </c>
      <c r="Q212" s="174">
        <f t="shared" si="85"/>
        <v>0.36460849648389676</v>
      </c>
      <c r="R212" s="172"/>
      <c r="S212" s="173">
        <f t="shared" si="84"/>
        <v>1.5787547897752731E-5</v>
      </c>
    </row>
    <row r="213" spans="2:19">
      <c r="B213" s="156" t="s">
        <v>522</v>
      </c>
      <c r="H213" s="20">
        <f>I213*12</f>
        <v>48</v>
      </c>
      <c r="I213" s="20">
        <f>4</f>
        <v>4</v>
      </c>
      <c r="J213" s="1">
        <v>4.33</v>
      </c>
      <c r="K213" s="19">
        <f>H213*J213</f>
        <v>207.84</v>
      </c>
      <c r="L213" s="1">
        <v>613</v>
      </c>
      <c r="M213" s="19">
        <f>K213*L213</f>
        <v>127405.92</v>
      </c>
      <c r="N213" s="19">
        <f t="shared" si="80"/>
        <v>93511.553899583378</v>
      </c>
      <c r="O213" s="19">
        <f t="shared" si="81"/>
        <v>96.316900516570996</v>
      </c>
      <c r="P213" s="19">
        <f t="shared" si="82"/>
        <v>98.209896267119731</v>
      </c>
      <c r="Q213" s="23">
        <f>P213/K213</f>
        <v>0.47252644470323196</v>
      </c>
      <c r="S213" s="19">
        <f>Q213*K213</f>
        <v>98.209896267119731</v>
      </c>
    </row>
    <row r="214" spans="2:19">
      <c r="B214" s="156" t="s">
        <v>523</v>
      </c>
      <c r="H214" s="20">
        <f t="shared" ref="H214" si="86">I214*12</f>
        <v>576</v>
      </c>
      <c r="I214" s="20">
        <f>48</f>
        <v>48</v>
      </c>
      <c r="J214" s="1">
        <v>4.33</v>
      </c>
      <c r="K214" s="19">
        <f t="shared" si="78"/>
        <v>2494.08</v>
      </c>
      <c r="L214" s="1">
        <v>840</v>
      </c>
      <c r="M214" s="19">
        <f t="shared" si="83"/>
        <v>2095027.2</v>
      </c>
      <c r="N214" s="19">
        <f t="shared" si="80"/>
        <v>1537677.7541725945</v>
      </c>
      <c r="O214" s="19">
        <f t="shared" si="81"/>
        <v>1583.8080867977742</v>
      </c>
      <c r="P214" s="19">
        <f t="shared" si="82"/>
        <v>1614.9359777692771</v>
      </c>
      <c r="Q214" s="23">
        <f t="shared" ref="Q214" si="87">P214/K214</f>
        <v>0.64750768931601121</v>
      </c>
      <c r="S214" s="19">
        <f t="shared" ref="S214" si="88">Q214*K214</f>
        <v>1614.9359777692773</v>
      </c>
    </row>
    <row r="215" spans="2:19">
      <c r="B215" s="170" t="s">
        <v>524</v>
      </c>
      <c r="C215" s="171"/>
      <c r="D215" s="172"/>
      <c r="E215" s="172"/>
      <c r="F215" s="172"/>
      <c r="G215" s="172"/>
      <c r="H215" s="173">
        <v>1.0000000000000001E-5</v>
      </c>
      <c r="I215" s="172"/>
      <c r="J215" s="172">
        <v>4.33</v>
      </c>
      <c r="K215" s="174">
        <f t="shared" si="78"/>
        <v>4.3300000000000002E-5</v>
      </c>
      <c r="L215" s="172">
        <v>980</v>
      </c>
      <c r="M215" s="173">
        <f t="shared" si="83"/>
        <v>4.2433999999999999E-2</v>
      </c>
      <c r="N215" s="174">
        <f t="shared" si="80"/>
        <v>3.1145093400486577E-2</v>
      </c>
      <c r="O215" s="173">
        <f t="shared" si="81"/>
        <v>3.2079446202501213E-5</v>
      </c>
      <c r="P215" s="173">
        <f t="shared" si="82"/>
        <v>3.2709930105280495E-5</v>
      </c>
      <c r="Q215" s="174">
        <f t="shared" ref="Q215" si="89">P215/K215</f>
        <v>0.75542563753534631</v>
      </c>
      <c r="R215" s="172"/>
      <c r="S215" s="173">
        <f t="shared" ref="S215" si="90">Q215*K215</f>
        <v>3.2709930105280495E-5</v>
      </c>
    </row>
    <row r="216" spans="2:19">
      <c r="O216" s="19">
        <f t="shared" si="81"/>
        <v>0</v>
      </c>
      <c r="P216" s="19">
        <f t="shared" si="82"/>
        <v>0</v>
      </c>
      <c r="Q216" s="23"/>
    </row>
    <row r="217" spans="2:19" ht="13.5" thickBot="1">
      <c r="M217" s="111">
        <f>SUM(M205:M216)</f>
        <v>13216942.175346596</v>
      </c>
      <c r="N217" s="111">
        <f t="shared" ref="N217:O217" si="91">SUM(N205:N216)</f>
        <v>9700780.0000000037</v>
      </c>
      <c r="O217" s="111">
        <f t="shared" si="91"/>
        <v>9991.8034000000116</v>
      </c>
      <c r="P217" s="111">
        <f>SUM(P205:P216)</f>
        <v>10188.180580692866</v>
      </c>
      <c r="S217" s="111">
        <f>SUM(S205:S216)</f>
        <v>10188.180580692866</v>
      </c>
    </row>
    <row r="218" spans="2:19" ht="13.5" thickTop="1">
      <c r="L218" s="1" t="s">
        <v>427</v>
      </c>
      <c r="M218" s="20">
        <f>'EQR Disposal'!B23</f>
        <v>9700780</v>
      </c>
    </row>
    <row r="219" spans="2:19">
      <c r="B219" s="177" t="s">
        <v>535</v>
      </c>
      <c r="M219" s="110">
        <f>M218/M217</f>
        <v>0.73396553236759621</v>
      </c>
    </row>
  </sheetData>
  <mergeCells count="1">
    <mergeCell ref="B4:I4"/>
  </mergeCells>
  <pageMargins left="0.7" right="0.7" top="0.75" bottom="0.75" header="0.3" footer="0.3"/>
  <pageSetup scale="57" fitToHeight="4" orientation="landscape" r:id="rId1"/>
  <headerFooter alignWithMargins="0">
    <oddHeader>&amp;R&amp;F
&amp;A</oddHeader>
    <oddFooter>&amp;L&amp;D&amp;C&amp;P&amp;R&amp;T</oddFooter>
  </headerFooter>
  <legacyDrawing r:id="rId2"/>
</worksheet>
</file>

<file path=xl/worksheets/sheet5.xml><?xml version="1.0" encoding="utf-8"?>
<worksheet xmlns="http://schemas.openxmlformats.org/spreadsheetml/2006/main" xmlns:r="http://schemas.openxmlformats.org/officeDocument/2006/relationships">
  <sheetPr>
    <pageSetUpPr fitToPage="1"/>
  </sheetPr>
  <dimension ref="A1:AC137"/>
  <sheetViews>
    <sheetView zoomScaleNormal="100" workbookViewId="0">
      <pane xSplit="2" ySplit="3" topLeftCell="C4" activePane="bottomRight" state="frozen"/>
      <selection pane="topRight" activeCell="C1" sqref="C1"/>
      <selection pane="bottomLeft" activeCell="A4" sqref="A4"/>
      <selection pane="bottomRight" sqref="A1:V35"/>
    </sheetView>
  </sheetViews>
  <sheetFormatPr defaultColWidth="9.140625" defaultRowHeight="11.25"/>
  <cols>
    <col min="1" max="1" width="19.140625" style="40" customWidth="1"/>
    <col min="2" max="2" width="9.7109375" style="40" bestFit="1" customWidth="1"/>
    <col min="3" max="5" width="9.140625" style="40" bestFit="1" customWidth="1"/>
    <col min="6" max="6" width="7.5703125" style="40" bestFit="1" customWidth="1"/>
    <col min="7" max="13" width="7" style="40" bestFit="1" customWidth="1"/>
    <col min="14" max="14" width="10.42578125" style="40" customWidth="1"/>
    <col min="15" max="15" width="12" style="40" bestFit="1" customWidth="1"/>
    <col min="16" max="16" width="12" style="40" customWidth="1"/>
    <col min="17" max="17" width="12.85546875" style="40" bestFit="1" customWidth="1"/>
    <col min="18" max="18" width="9.140625" style="40"/>
    <col min="19" max="19" width="12.28515625" style="40" customWidth="1"/>
    <col min="20" max="16384" width="9.140625" style="40"/>
  </cols>
  <sheetData>
    <row r="1" spans="1:23">
      <c r="A1" s="39" t="s">
        <v>369</v>
      </c>
    </row>
    <row r="2" spans="1:23">
      <c r="A2" s="41">
        <v>2180</v>
      </c>
    </row>
    <row r="3" spans="1:23">
      <c r="A3" s="108" t="s">
        <v>659</v>
      </c>
    </row>
    <row r="4" spans="1:23" s="39" customFormat="1">
      <c r="A4" s="39" t="s">
        <v>370</v>
      </c>
      <c r="B4" s="42">
        <v>40360</v>
      </c>
      <c r="C4" s="42">
        <v>40391</v>
      </c>
      <c r="D4" s="42">
        <v>40422</v>
      </c>
      <c r="E4" s="42">
        <v>40452</v>
      </c>
      <c r="F4" s="42">
        <v>40483</v>
      </c>
      <c r="G4" s="42">
        <v>40513</v>
      </c>
      <c r="H4" s="42">
        <v>40544</v>
      </c>
      <c r="I4" s="42">
        <v>40575</v>
      </c>
      <c r="J4" s="42">
        <v>40603</v>
      </c>
      <c r="K4" s="42">
        <v>40634</v>
      </c>
      <c r="L4" s="42">
        <v>40664</v>
      </c>
      <c r="M4" s="42">
        <v>40695</v>
      </c>
      <c r="N4" s="43" t="s">
        <v>368</v>
      </c>
      <c r="O4" s="43"/>
      <c r="P4" s="43"/>
      <c r="Q4" s="43"/>
      <c r="R4" s="43"/>
      <c r="S4" s="43"/>
      <c r="T4" s="43"/>
      <c r="U4" s="43"/>
      <c r="V4" s="43"/>
      <c r="W4" s="43"/>
    </row>
    <row r="5" spans="1:23">
      <c r="A5" s="39"/>
    </row>
    <row r="6" spans="1:23" s="45" customFormat="1">
      <c r="A6" s="44" t="s">
        <v>371</v>
      </c>
      <c r="B6" s="45">
        <v>832843</v>
      </c>
      <c r="C6" s="45">
        <v>834307</v>
      </c>
      <c r="D6" s="45">
        <v>840919</v>
      </c>
      <c r="E6" s="45">
        <v>802594</v>
      </c>
      <c r="F6" s="45">
        <v>800211</v>
      </c>
      <c r="G6" s="45">
        <v>858638</v>
      </c>
      <c r="H6" s="45">
        <v>767173</v>
      </c>
      <c r="I6" s="45">
        <v>663416</v>
      </c>
      <c r="J6" s="46">
        <v>864084</v>
      </c>
      <c r="K6" s="45">
        <v>838515</v>
      </c>
      <c r="L6" s="45">
        <v>887453</v>
      </c>
      <c r="M6" s="45">
        <v>910739</v>
      </c>
      <c r="N6" s="47">
        <f>SUM(B6:M6)</f>
        <v>9900892</v>
      </c>
    </row>
    <row r="7" spans="1:23">
      <c r="A7" s="39"/>
    </row>
    <row r="8" spans="1:23">
      <c r="A8" s="39" t="s">
        <v>372</v>
      </c>
      <c r="B8" s="40">
        <v>112.94</v>
      </c>
      <c r="C8" s="40">
        <v>112.94</v>
      </c>
      <c r="D8" s="40">
        <v>112.94</v>
      </c>
      <c r="E8" s="40">
        <v>112.94</v>
      </c>
      <c r="F8" s="40">
        <v>112.94</v>
      </c>
      <c r="G8" s="40">
        <v>112.94</v>
      </c>
      <c r="H8" s="40">
        <v>112.94</v>
      </c>
      <c r="I8" s="40">
        <v>112.94</v>
      </c>
      <c r="J8" s="40">
        <v>123.29</v>
      </c>
      <c r="K8" s="40">
        <v>123.29</v>
      </c>
      <c r="L8" s="40">
        <v>123.29</v>
      </c>
      <c r="M8" s="40">
        <v>123.29</v>
      </c>
    </row>
    <row r="9" spans="1:23">
      <c r="A9" s="39"/>
    </row>
    <row r="10" spans="1:23" s="39" customFormat="1">
      <c r="A10" s="39" t="s">
        <v>373</v>
      </c>
      <c r="B10" s="48">
        <f t="shared" ref="B10:M10" si="0">B6/B8</f>
        <v>7374.2075438285819</v>
      </c>
      <c r="C10" s="48">
        <f t="shared" si="0"/>
        <v>7387.1701788560295</v>
      </c>
      <c r="D10" s="48">
        <f t="shared" si="0"/>
        <v>7445.7145386931115</v>
      </c>
      <c r="E10" s="48">
        <f t="shared" si="0"/>
        <v>7106.3750664069421</v>
      </c>
      <c r="F10" s="48">
        <f t="shared" si="0"/>
        <v>7085.2753674517444</v>
      </c>
      <c r="G10" s="48">
        <f t="shared" si="0"/>
        <v>7602.6031521161676</v>
      </c>
      <c r="H10" s="48">
        <f t="shared" si="0"/>
        <v>6792.7483619621044</v>
      </c>
      <c r="I10" s="48">
        <f t="shared" si="0"/>
        <v>5874.0570214273066</v>
      </c>
      <c r="J10" s="48">
        <f t="shared" si="0"/>
        <v>7008.548949630951</v>
      </c>
      <c r="K10" s="48">
        <f t="shared" si="0"/>
        <v>6801.1598669802897</v>
      </c>
      <c r="L10" s="48">
        <f t="shared" si="0"/>
        <v>7198.0939248925297</v>
      </c>
      <c r="M10" s="48">
        <f t="shared" si="0"/>
        <v>7386.965690648065</v>
      </c>
      <c r="N10" s="44">
        <f>SUM(B10:M10)</f>
        <v>85062.919662893808</v>
      </c>
    </row>
    <row r="11" spans="1:23">
      <c r="A11" s="39"/>
    </row>
    <row r="12" spans="1:23">
      <c r="A12" s="39" t="s">
        <v>374</v>
      </c>
      <c r="B12" s="45">
        <v>197626</v>
      </c>
      <c r="C12" s="45">
        <v>191522</v>
      </c>
      <c r="D12" s="45">
        <v>197604</v>
      </c>
      <c r="E12" s="45">
        <v>184481</v>
      </c>
      <c r="F12" s="45">
        <v>170384</v>
      </c>
      <c r="G12" s="45">
        <v>184178</v>
      </c>
      <c r="H12" s="45">
        <v>173068</v>
      </c>
      <c r="I12" s="45">
        <v>159143</v>
      </c>
      <c r="J12" s="45">
        <v>184608</v>
      </c>
      <c r="K12" s="45">
        <v>186007</v>
      </c>
      <c r="L12" s="45">
        <v>175334</v>
      </c>
      <c r="M12" s="45">
        <v>200329</v>
      </c>
      <c r="N12" s="49">
        <f>SUM(B12:M12)</f>
        <v>2204284</v>
      </c>
    </row>
    <row r="13" spans="1:23">
      <c r="A13" s="39"/>
      <c r="B13" s="45"/>
      <c r="C13" s="45"/>
      <c r="D13" s="45"/>
      <c r="E13" s="45"/>
      <c r="F13" s="45"/>
      <c r="G13" s="45"/>
      <c r="H13" s="45"/>
      <c r="I13" s="45"/>
      <c r="J13" s="45"/>
      <c r="K13" s="45"/>
      <c r="L13" s="45"/>
      <c r="M13" s="45"/>
    </row>
    <row r="14" spans="1:23">
      <c r="A14" s="39" t="s">
        <v>372</v>
      </c>
      <c r="B14" s="40">
        <v>112.94</v>
      </c>
      <c r="C14" s="40">
        <v>112.94</v>
      </c>
      <c r="D14" s="40">
        <v>112.94</v>
      </c>
      <c r="E14" s="40">
        <v>112.94</v>
      </c>
      <c r="F14" s="40">
        <v>112.94</v>
      </c>
      <c r="G14" s="40">
        <v>112.94</v>
      </c>
      <c r="H14" s="40">
        <v>112.94</v>
      </c>
      <c r="I14" s="40">
        <v>112.94</v>
      </c>
      <c r="J14" s="40">
        <v>123.29</v>
      </c>
      <c r="K14" s="40">
        <v>123.29</v>
      </c>
      <c r="L14" s="40">
        <v>123.29</v>
      </c>
      <c r="M14" s="40">
        <v>123.29</v>
      </c>
      <c r="O14" s="47"/>
    </row>
    <row r="15" spans="1:23">
      <c r="A15" s="39"/>
      <c r="B15" s="45"/>
      <c r="C15" s="45"/>
      <c r="D15" s="45"/>
      <c r="E15" s="45"/>
      <c r="F15" s="45"/>
      <c r="G15" s="45"/>
      <c r="H15" s="45"/>
      <c r="I15" s="45"/>
      <c r="J15" s="45"/>
      <c r="K15" s="45"/>
      <c r="L15" s="45"/>
      <c r="M15" s="45"/>
    </row>
    <row r="16" spans="1:23" s="39" customFormat="1">
      <c r="A16" s="39" t="s">
        <v>375</v>
      </c>
      <c r="B16" s="48">
        <f t="shared" ref="B16:M16" si="1">B12/B14</f>
        <v>1749.8317690809279</v>
      </c>
      <c r="C16" s="48">
        <f t="shared" si="1"/>
        <v>1695.7853727642996</v>
      </c>
      <c r="D16" s="48">
        <f t="shared" si="1"/>
        <v>1749.6369753851602</v>
      </c>
      <c r="E16" s="48">
        <f t="shared" si="1"/>
        <v>1633.4425358597487</v>
      </c>
      <c r="F16" s="48">
        <f t="shared" si="1"/>
        <v>1508.6240481671684</v>
      </c>
      <c r="G16" s="48">
        <f t="shared" si="1"/>
        <v>1630.759695413494</v>
      </c>
      <c r="H16" s="48">
        <f t="shared" si="1"/>
        <v>1532.3888790508236</v>
      </c>
      <c r="I16" s="48">
        <f t="shared" si="1"/>
        <v>1409.0933238887906</v>
      </c>
      <c r="J16" s="48">
        <f t="shared" si="1"/>
        <v>1497.34771676535</v>
      </c>
      <c r="K16" s="48">
        <f t="shared" si="1"/>
        <v>1508.6949468732257</v>
      </c>
      <c r="L16" s="48">
        <f t="shared" si="1"/>
        <v>1422.1266931624625</v>
      </c>
      <c r="M16" s="48">
        <f t="shared" si="1"/>
        <v>1624.8600859761536</v>
      </c>
      <c r="N16" s="44">
        <f>SUM(B16:M16)</f>
        <v>18962.592042387601</v>
      </c>
    </row>
    <row r="17" spans="1:24">
      <c r="A17" s="39"/>
      <c r="B17" s="45"/>
      <c r="C17" s="45"/>
      <c r="D17" s="45"/>
      <c r="E17" s="45"/>
      <c r="F17" s="45"/>
      <c r="G17" s="45"/>
      <c r="H17" s="45"/>
      <c r="I17" s="45"/>
      <c r="J17" s="45"/>
      <c r="K17" s="45"/>
      <c r="L17" s="45"/>
      <c r="M17" s="45"/>
    </row>
    <row r="18" spans="1:24">
      <c r="A18" s="39" t="s">
        <v>376</v>
      </c>
      <c r="B18" s="45">
        <f t="shared" ref="B18:M18" si="2">B6-B12</f>
        <v>635217</v>
      </c>
      <c r="C18" s="45">
        <f t="shared" si="2"/>
        <v>642785</v>
      </c>
      <c r="D18" s="45">
        <f t="shared" si="2"/>
        <v>643315</v>
      </c>
      <c r="E18" s="45">
        <f t="shared" si="2"/>
        <v>618113</v>
      </c>
      <c r="F18" s="45">
        <f t="shared" si="2"/>
        <v>629827</v>
      </c>
      <c r="G18" s="45">
        <f t="shared" si="2"/>
        <v>674460</v>
      </c>
      <c r="H18" s="45">
        <f t="shared" si="2"/>
        <v>594105</v>
      </c>
      <c r="I18" s="45">
        <f t="shared" si="2"/>
        <v>504273</v>
      </c>
      <c r="J18" s="45">
        <f t="shared" si="2"/>
        <v>679476</v>
      </c>
      <c r="K18" s="45">
        <f t="shared" si="2"/>
        <v>652508</v>
      </c>
      <c r="L18" s="45">
        <f t="shared" si="2"/>
        <v>712119</v>
      </c>
      <c r="M18" s="45">
        <f t="shared" si="2"/>
        <v>710410</v>
      </c>
      <c r="N18" s="49">
        <f>SUM(B18:M18)</f>
        <v>7696608</v>
      </c>
    </row>
    <row r="19" spans="1:24">
      <c r="A19" s="39"/>
      <c r="B19" s="45"/>
      <c r="C19" s="45"/>
      <c r="D19" s="45"/>
      <c r="E19" s="45"/>
      <c r="F19" s="45"/>
      <c r="G19" s="45"/>
      <c r="H19" s="45"/>
      <c r="I19" s="45"/>
      <c r="J19" s="45"/>
      <c r="K19" s="45"/>
      <c r="L19" s="45"/>
      <c r="M19" s="45"/>
      <c r="N19" s="45"/>
    </row>
    <row r="20" spans="1:24" ht="12" thickBot="1">
      <c r="A20" s="39" t="s">
        <v>372</v>
      </c>
      <c r="B20" s="40">
        <v>112.94</v>
      </c>
      <c r="C20" s="40">
        <v>112.94</v>
      </c>
      <c r="D20" s="40">
        <v>112.94</v>
      </c>
      <c r="E20" s="40">
        <v>112.94</v>
      </c>
      <c r="F20" s="40">
        <v>112.94</v>
      </c>
      <c r="G20" s="40">
        <v>112.94</v>
      </c>
      <c r="H20" s="40">
        <v>112.94</v>
      </c>
      <c r="I20" s="40">
        <v>112.94</v>
      </c>
      <c r="J20" s="40">
        <v>123.29</v>
      </c>
      <c r="K20" s="40">
        <v>123.29</v>
      </c>
      <c r="L20" s="40">
        <v>123.29</v>
      </c>
      <c r="M20" s="40">
        <v>123.29</v>
      </c>
    </row>
    <row r="21" spans="1:24">
      <c r="A21" s="39"/>
      <c r="B21" s="45"/>
      <c r="C21" s="45"/>
      <c r="D21" s="45"/>
      <c r="E21" s="45"/>
      <c r="F21" s="45"/>
      <c r="G21" s="45"/>
      <c r="H21" s="45"/>
      <c r="I21" s="45"/>
      <c r="J21" s="45"/>
      <c r="K21" s="45"/>
      <c r="L21" s="45"/>
      <c r="M21" s="45"/>
      <c r="N21" s="45"/>
      <c r="O21" s="113"/>
      <c r="P21" s="114"/>
      <c r="Q21" s="114"/>
      <c r="R21" s="114"/>
      <c r="S21" s="114"/>
      <c r="T21" s="114"/>
      <c r="U21" s="114"/>
      <c r="V21" s="115"/>
    </row>
    <row r="22" spans="1:24" s="39" customFormat="1">
      <c r="A22" s="39" t="s">
        <v>377</v>
      </c>
      <c r="B22" s="48">
        <f t="shared" ref="B22:M22" si="3">B18/B20</f>
        <v>5624.3757747476538</v>
      </c>
      <c r="C22" s="48">
        <f t="shared" si="3"/>
        <v>5691.3848060917298</v>
      </c>
      <c r="D22" s="48">
        <f t="shared" si="3"/>
        <v>5696.0775633079511</v>
      </c>
      <c r="E22" s="48">
        <f t="shared" si="3"/>
        <v>5472.932530547193</v>
      </c>
      <c r="F22" s="48">
        <f t="shared" si="3"/>
        <v>5576.6513192845759</v>
      </c>
      <c r="G22" s="48">
        <f t="shared" si="3"/>
        <v>5971.8434567026743</v>
      </c>
      <c r="H22" s="48">
        <f t="shared" si="3"/>
        <v>5260.3594829112808</v>
      </c>
      <c r="I22" s="48">
        <f t="shared" si="3"/>
        <v>4464.9636975385165</v>
      </c>
      <c r="J22" s="48">
        <f t="shared" si="3"/>
        <v>5511.201232865601</v>
      </c>
      <c r="K22" s="48">
        <f t="shared" si="3"/>
        <v>5292.4649201070642</v>
      </c>
      <c r="L22" s="48">
        <f t="shared" si="3"/>
        <v>5775.9672317300674</v>
      </c>
      <c r="M22" s="48">
        <f t="shared" si="3"/>
        <v>5762.1056046719114</v>
      </c>
      <c r="N22" s="44">
        <f>SUM(B22:M22)</f>
        <v>66100.327620506214</v>
      </c>
      <c r="O22" s="116"/>
      <c r="P22" s="117" t="s">
        <v>424</v>
      </c>
      <c r="Q22" s="118">
        <f>N22*2000</f>
        <v>132200655.24101242</v>
      </c>
      <c r="R22" s="67"/>
      <c r="S22" s="67"/>
      <c r="T22" s="67"/>
      <c r="U22" s="67"/>
      <c r="V22" s="119"/>
    </row>
    <row r="23" spans="1:24">
      <c r="A23" s="39"/>
      <c r="B23" s="45"/>
      <c r="C23" s="45"/>
      <c r="D23" s="45"/>
      <c r="E23" s="45"/>
      <c r="F23" s="45"/>
      <c r="G23" s="45"/>
      <c r="H23" s="45"/>
      <c r="I23" s="45"/>
      <c r="J23" s="45"/>
      <c r="K23" s="45"/>
      <c r="L23" s="45"/>
      <c r="M23" s="45"/>
      <c r="O23" s="120"/>
      <c r="P23" s="69"/>
      <c r="Q23" s="69"/>
      <c r="R23" s="69"/>
      <c r="S23" s="69"/>
      <c r="T23" s="69"/>
      <c r="U23" s="69"/>
      <c r="V23" s="121"/>
    </row>
    <row r="24" spans="1:24">
      <c r="A24" s="50"/>
      <c r="B24" s="51"/>
      <c r="C24" s="51"/>
      <c r="D24" s="51"/>
      <c r="E24" s="51"/>
      <c r="F24" s="51"/>
      <c r="G24" s="51"/>
      <c r="H24" s="51"/>
      <c r="I24" s="51"/>
      <c r="J24" s="51"/>
      <c r="K24" s="51"/>
      <c r="L24" s="51"/>
      <c r="M24" s="51"/>
      <c r="N24" s="52"/>
      <c r="O24" s="120"/>
      <c r="P24" s="122" t="s">
        <v>425</v>
      </c>
      <c r="Q24" s="69">
        <v>137.08000000000001</v>
      </c>
      <c r="R24" s="69"/>
      <c r="S24" s="69"/>
      <c r="T24" s="69"/>
      <c r="U24" s="69"/>
      <c r="V24" s="121"/>
    </row>
    <row r="25" spans="1:24" s="42" customFormat="1">
      <c r="A25" s="53" t="s">
        <v>378</v>
      </c>
      <c r="B25" s="42">
        <f t="shared" ref="B25:N25" si="4">B4</f>
        <v>40360</v>
      </c>
      <c r="C25" s="42">
        <f t="shared" si="4"/>
        <v>40391</v>
      </c>
      <c r="D25" s="42">
        <f t="shared" si="4"/>
        <v>40422</v>
      </c>
      <c r="E25" s="42">
        <f t="shared" si="4"/>
        <v>40452</v>
      </c>
      <c r="F25" s="42">
        <f t="shared" si="4"/>
        <v>40483</v>
      </c>
      <c r="G25" s="42">
        <f t="shared" si="4"/>
        <v>40513</v>
      </c>
      <c r="H25" s="42">
        <f t="shared" si="4"/>
        <v>40544</v>
      </c>
      <c r="I25" s="42">
        <f t="shared" si="4"/>
        <v>40575</v>
      </c>
      <c r="J25" s="42">
        <f t="shared" si="4"/>
        <v>40603</v>
      </c>
      <c r="K25" s="42">
        <f t="shared" si="4"/>
        <v>40634</v>
      </c>
      <c r="L25" s="42">
        <f t="shared" si="4"/>
        <v>40664</v>
      </c>
      <c r="M25" s="42">
        <f t="shared" si="4"/>
        <v>40695</v>
      </c>
      <c r="N25" s="42" t="str">
        <f t="shared" si="4"/>
        <v>Total</v>
      </c>
      <c r="O25" s="123"/>
      <c r="P25" s="122" t="s">
        <v>428</v>
      </c>
      <c r="Q25" s="112">
        <v>139.38</v>
      </c>
      <c r="R25" s="124"/>
      <c r="S25" s="124"/>
      <c r="T25" s="122" t="s">
        <v>430</v>
      </c>
      <c r="U25" s="69">
        <v>1.4999999999999999E-2</v>
      </c>
      <c r="V25" s="125"/>
    </row>
    <row r="26" spans="1:24">
      <c r="A26" s="39"/>
      <c r="B26" s="45"/>
      <c r="C26" s="45"/>
      <c r="D26" s="45"/>
      <c r="E26" s="45"/>
      <c r="F26" s="45"/>
      <c r="G26" s="45"/>
      <c r="H26" s="45"/>
      <c r="I26" s="45"/>
      <c r="J26" s="45"/>
      <c r="K26" s="45"/>
      <c r="L26" s="45"/>
      <c r="M26" s="45"/>
      <c r="O26" s="120"/>
      <c r="P26" s="117" t="s">
        <v>429</v>
      </c>
      <c r="Q26" s="126">
        <f>Q25-Q24</f>
        <v>2.2999999999999829</v>
      </c>
      <c r="R26" s="127">
        <f>Q26/Q24</f>
        <v>1.6778523489932761E-2</v>
      </c>
      <c r="S26" s="69"/>
      <c r="T26" s="122" t="s">
        <v>431</v>
      </c>
      <c r="U26" s="112">
        <v>4.2750000000000002E-3</v>
      </c>
      <c r="V26" s="121"/>
    </row>
    <row r="27" spans="1:24" s="39" customFormat="1">
      <c r="A27" s="44" t="s">
        <v>371</v>
      </c>
      <c r="B27" s="44">
        <v>676828</v>
      </c>
      <c r="C27" s="44">
        <v>653626</v>
      </c>
      <c r="D27" s="44">
        <v>579739</v>
      </c>
      <c r="E27" s="44">
        <v>552188</v>
      </c>
      <c r="F27" s="44">
        <v>672009</v>
      </c>
      <c r="G27" s="44">
        <v>668491</v>
      </c>
      <c r="H27" s="44">
        <v>646781</v>
      </c>
      <c r="I27" s="44">
        <v>615943</v>
      </c>
      <c r="J27" s="54">
        <f>1358557-615353.36</f>
        <v>743203.64</v>
      </c>
      <c r="K27" s="44">
        <v>718358</v>
      </c>
      <c r="L27" s="44">
        <v>887939</v>
      </c>
      <c r="M27" s="44">
        <v>767925</v>
      </c>
      <c r="N27" s="55">
        <f>SUM(B27:M27)</f>
        <v>8183030.6399999997</v>
      </c>
      <c r="O27" s="128"/>
      <c r="P27" s="129"/>
      <c r="Q27" s="129"/>
      <c r="R27" s="129"/>
      <c r="S27" s="129"/>
      <c r="T27" s="122"/>
      <c r="U27" s="69">
        <f>U25+U26</f>
        <v>1.9275E-2</v>
      </c>
      <c r="V27" s="130"/>
      <c r="W27" s="44"/>
      <c r="X27" s="44"/>
    </row>
    <row r="28" spans="1:24">
      <c r="A28" s="39"/>
      <c r="O28" s="120"/>
      <c r="P28" s="122" t="s">
        <v>435</v>
      </c>
      <c r="Q28" s="131">
        <f>N22*Q26</f>
        <v>152030.75352716318</v>
      </c>
      <c r="R28" s="69"/>
      <c r="S28" s="69"/>
      <c r="T28" s="122"/>
      <c r="U28" s="69"/>
      <c r="V28" s="121"/>
    </row>
    <row r="29" spans="1:24">
      <c r="A29" s="39" t="s">
        <v>379</v>
      </c>
      <c r="B29" s="40">
        <v>112.94</v>
      </c>
      <c r="C29" s="40">
        <v>112.94</v>
      </c>
      <c r="D29" s="40">
        <v>112.94</v>
      </c>
      <c r="E29" s="40">
        <v>112.94</v>
      </c>
      <c r="F29" s="40">
        <v>112.94</v>
      </c>
      <c r="G29" s="40">
        <v>112.94</v>
      </c>
      <c r="H29" s="40">
        <v>112.94</v>
      </c>
      <c r="I29" s="40">
        <v>112.94</v>
      </c>
      <c r="J29" s="40">
        <v>123.29</v>
      </c>
      <c r="K29" s="40">
        <v>123.29</v>
      </c>
      <c r="L29" s="40">
        <v>123.29</v>
      </c>
      <c r="M29" s="40">
        <v>123.29</v>
      </c>
      <c r="N29" s="45"/>
      <c r="O29" s="120"/>
      <c r="P29" s="117" t="s">
        <v>434</v>
      </c>
      <c r="Q29" s="126">
        <f>Q28/(U29)</f>
        <v>155018.73973556623</v>
      </c>
      <c r="R29" s="69"/>
      <c r="S29" s="69"/>
      <c r="T29" s="122" t="s">
        <v>432</v>
      </c>
      <c r="U29" s="69">
        <f>1-U27</f>
        <v>0.98072499999999996</v>
      </c>
      <c r="V29" s="121"/>
    </row>
    <row r="30" spans="1:24">
      <c r="A30" s="39"/>
      <c r="O30" s="120"/>
      <c r="P30" s="69"/>
      <c r="Q30" s="69"/>
      <c r="R30" s="69"/>
      <c r="S30" s="69"/>
      <c r="T30" s="69"/>
      <c r="U30" s="69"/>
      <c r="V30" s="121"/>
    </row>
    <row r="31" spans="1:24">
      <c r="A31" s="39" t="s">
        <v>380</v>
      </c>
      <c r="B31" s="56">
        <v>33</v>
      </c>
      <c r="C31" s="56">
        <v>33</v>
      </c>
      <c r="D31" s="56">
        <v>33</v>
      </c>
      <c r="E31" s="56">
        <v>33</v>
      </c>
      <c r="F31" s="56">
        <v>33</v>
      </c>
      <c r="G31" s="56">
        <v>33</v>
      </c>
      <c r="H31" s="56">
        <v>33</v>
      </c>
      <c r="I31" s="56">
        <v>33</v>
      </c>
      <c r="J31" s="56">
        <v>33</v>
      </c>
      <c r="K31" s="56">
        <v>33</v>
      </c>
      <c r="L31" s="56">
        <v>33</v>
      </c>
      <c r="M31" s="56">
        <v>33</v>
      </c>
      <c r="O31" s="120"/>
      <c r="P31" s="69"/>
      <c r="Q31" s="69"/>
      <c r="R31" s="69"/>
      <c r="S31" s="69"/>
      <c r="T31" s="69"/>
      <c r="U31" s="69"/>
      <c r="V31" s="121"/>
    </row>
    <row r="32" spans="1:24">
      <c r="A32" s="39"/>
      <c r="O32" s="120"/>
      <c r="P32" s="117" t="s">
        <v>433</v>
      </c>
      <c r="Q32" s="132">
        <f>N16*Q26</f>
        <v>43613.961697491162</v>
      </c>
      <c r="R32" s="69"/>
      <c r="S32" s="69"/>
      <c r="T32" s="69"/>
      <c r="U32" s="69"/>
      <c r="V32" s="121"/>
    </row>
    <row r="33" spans="1:29">
      <c r="A33" s="39" t="s">
        <v>381</v>
      </c>
      <c r="B33" s="40">
        <v>13.64</v>
      </c>
      <c r="C33" s="40">
        <v>13.64</v>
      </c>
      <c r="D33" s="40">
        <v>13.64</v>
      </c>
      <c r="E33" s="40">
        <v>13.64</v>
      </c>
      <c r="F33" s="40">
        <v>13.64</v>
      </c>
      <c r="G33" s="40">
        <v>13.64</v>
      </c>
      <c r="H33" s="40">
        <v>13.64</v>
      </c>
      <c r="I33" s="40">
        <v>13.64</v>
      </c>
      <c r="J33" s="57">
        <v>13.8</v>
      </c>
      <c r="K33" s="57">
        <v>13.8</v>
      </c>
      <c r="L33" s="57">
        <v>13.8</v>
      </c>
      <c r="M33" s="57">
        <v>13.8</v>
      </c>
      <c r="O33" s="120"/>
      <c r="P33" s="69"/>
      <c r="Q33" s="69"/>
      <c r="R33" s="69"/>
      <c r="S33" s="69"/>
      <c r="T33" s="69"/>
      <c r="U33" s="69"/>
      <c r="V33" s="121"/>
    </row>
    <row r="34" spans="1:29">
      <c r="A34" s="39"/>
      <c r="O34" s="120"/>
      <c r="P34" s="69"/>
      <c r="Q34" s="69"/>
      <c r="R34" s="69"/>
      <c r="S34" s="69"/>
      <c r="T34" s="69"/>
      <c r="U34" s="69"/>
      <c r="V34" s="121"/>
    </row>
    <row r="35" spans="1:29" ht="12" thickBot="1">
      <c r="A35" s="39"/>
      <c r="O35" s="133"/>
      <c r="P35" s="134"/>
      <c r="Q35" s="134"/>
      <c r="R35" s="134"/>
      <c r="S35" s="134"/>
      <c r="T35" s="134"/>
      <c r="U35" s="134"/>
      <c r="V35" s="135"/>
    </row>
    <row r="36" spans="1:29" s="39" customFormat="1">
      <c r="A36" s="39" t="s">
        <v>382</v>
      </c>
      <c r="B36" s="44">
        <v>279172</v>
      </c>
      <c r="C36" s="44">
        <v>294937</v>
      </c>
      <c r="D36" s="44">
        <v>188965</v>
      </c>
      <c r="E36" s="44">
        <v>229736</v>
      </c>
      <c r="F36" s="44">
        <v>316487</v>
      </c>
      <c r="G36" s="44">
        <v>297344</v>
      </c>
      <c r="H36" s="44">
        <v>328319</v>
      </c>
      <c r="I36" s="44">
        <v>279325</v>
      </c>
      <c r="J36" s="44">
        <v>319510</v>
      </c>
      <c r="K36" s="44">
        <v>343893</v>
      </c>
      <c r="L36" s="44">
        <v>469711</v>
      </c>
      <c r="M36" s="44">
        <v>350442</v>
      </c>
      <c r="N36" s="44">
        <f>SUM(B36:M36)</f>
        <v>3697841</v>
      </c>
    </row>
    <row r="37" spans="1:29">
      <c r="A37" s="39"/>
    </row>
    <row r="38" spans="1:29">
      <c r="A38" s="39" t="s">
        <v>383</v>
      </c>
      <c r="B38" s="45">
        <v>120294</v>
      </c>
      <c r="C38" s="45">
        <v>116189</v>
      </c>
      <c r="D38" s="45">
        <v>119038</v>
      </c>
      <c r="E38" s="45">
        <v>118135</v>
      </c>
      <c r="F38" s="45">
        <v>123332</v>
      </c>
      <c r="G38" s="45">
        <v>125879</v>
      </c>
      <c r="H38" s="45">
        <v>115094</v>
      </c>
      <c r="I38" s="45">
        <v>102393</v>
      </c>
      <c r="J38" s="45">
        <v>150313</v>
      </c>
      <c r="K38" s="45">
        <v>125365</v>
      </c>
      <c r="L38" s="45">
        <v>134952</v>
      </c>
      <c r="M38" s="45">
        <v>131592</v>
      </c>
      <c r="N38" s="44">
        <f>SUM(B38:M38)</f>
        <v>1482576</v>
      </c>
    </row>
    <row r="39" spans="1:29">
      <c r="A39" s="39" t="s">
        <v>372</v>
      </c>
      <c r="B39" s="40">
        <v>112.94</v>
      </c>
      <c r="C39" s="40">
        <v>112.94</v>
      </c>
      <c r="D39" s="40">
        <v>112.94</v>
      </c>
      <c r="E39" s="40">
        <v>112.94</v>
      </c>
      <c r="F39" s="40">
        <v>112.94</v>
      </c>
      <c r="G39" s="40">
        <v>112.94</v>
      </c>
      <c r="H39" s="40">
        <v>112.94</v>
      </c>
      <c r="I39" s="40">
        <v>112.94</v>
      </c>
      <c r="J39" s="40">
        <v>123.29</v>
      </c>
      <c r="K39" s="40">
        <v>123.29</v>
      </c>
      <c r="L39" s="40">
        <v>123.29</v>
      </c>
      <c r="M39" s="40">
        <v>123.29</v>
      </c>
    </row>
    <row r="40" spans="1:29" s="45" customFormat="1">
      <c r="A40" s="44" t="s">
        <v>384</v>
      </c>
      <c r="B40" s="45">
        <f t="shared" ref="B40:M40" si="5">B38/B39</f>
        <v>1065.1142199397912</v>
      </c>
      <c r="C40" s="45">
        <f t="shared" si="5"/>
        <v>1028.7674871613247</v>
      </c>
      <c r="D40" s="45">
        <f t="shared" si="5"/>
        <v>1053.9932707632372</v>
      </c>
      <c r="E40" s="45">
        <f t="shared" si="5"/>
        <v>1045.9978749778643</v>
      </c>
      <c r="F40" s="45">
        <f t="shared" si="5"/>
        <v>1092.0134584735258</v>
      </c>
      <c r="G40" s="45">
        <f t="shared" si="5"/>
        <v>1114.5652558880822</v>
      </c>
      <c r="H40" s="45">
        <f t="shared" si="5"/>
        <v>1019.0720736674341</v>
      </c>
      <c r="I40" s="45">
        <f t="shared" si="5"/>
        <v>906.61413139720207</v>
      </c>
      <c r="J40" s="45">
        <f t="shared" si="5"/>
        <v>1219.1824154432638</v>
      </c>
      <c r="K40" s="45">
        <f t="shared" si="5"/>
        <v>1016.8302376510666</v>
      </c>
      <c r="L40" s="45">
        <f t="shared" si="5"/>
        <v>1094.5899910779463</v>
      </c>
      <c r="M40" s="45">
        <f t="shared" si="5"/>
        <v>1067.3371725200745</v>
      </c>
      <c r="N40" s="45">
        <f>SUM(B40:M40)</f>
        <v>12724.077588960814</v>
      </c>
    </row>
    <row r="41" spans="1:29">
      <c r="A41" s="39"/>
    </row>
    <row r="42" spans="1:29">
      <c r="A42" s="39" t="s">
        <v>385</v>
      </c>
      <c r="B42" s="45">
        <v>4302</v>
      </c>
      <c r="C42" s="45">
        <v>3434</v>
      </c>
      <c r="D42" s="45">
        <v>3365</v>
      </c>
      <c r="E42" s="45">
        <v>2425</v>
      </c>
      <c r="F42" s="45">
        <v>3876</v>
      </c>
      <c r="G42" s="45">
        <v>4111</v>
      </c>
      <c r="H42" s="45">
        <v>6507</v>
      </c>
      <c r="I42" s="45">
        <v>5315</v>
      </c>
      <c r="J42" s="45">
        <v>7013</v>
      </c>
      <c r="K42" s="45">
        <v>5181</v>
      </c>
      <c r="L42" s="45">
        <v>3104</v>
      </c>
      <c r="M42" s="45">
        <v>2486</v>
      </c>
      <c r="N42" s="45">
        <f>SUM(B42:M42)</f>
        <v>51119</v>
      </c>
      <c r="O42" s="45"/>
      <c r="P42" s="45"/>
      <c r="Q42" s="45"/>
      <c r="R42" s="45"/>
      <c r="S42" s="45"/>
      <c r="T42" s="45"/>
      <c r="U42" s="45"/>
      <c r="V42" s="45"/>
      <c r="W42" s="45"/>
      <c r="X42" s="45"/>
      <c r="Y42" s="45"/>
      <c r="Z42" s="45"/>
    </row>
    <row r="43" spans="1:29">
      <c r="A43" s="39" t="s">
        <v>372</v>
      </c>
      <c r="B43" s="56">
        <v>33</v>
      </c>
      <c r="C43" s="56">
        <v>33</v>
      </c>
      <c r="D43" s="56">
        <v>33</v>
      </c>
      <c r="E43" s="56">
        <v>33</v>
      </c>
      <c r="F43" s="56">
        <v>33</v>
      </c>
      <c r="G43" s="56">
        <v>33</v>
      </c>
      <c r="H43" s="56">
        <v>33</v>
      </c>
      <c r="I43" s="56">
        <v>33</v>
      </c>
      <c r="J43" s="56">
        <v>33</v>
      </c>
      <c r="K43" s="56">
        <v>33</v>
      </c>
      <c r="L43" s="56">
        <v>33</v>
      </c>
      <c r="M43" s="56">
        <v>33</v>
      </c>
    </row>
    <row r="44" spans="1:29" s="60" customFormat="1">
      <c r="A44" s="58" t="s">
        <v>386</v>
      </c>
      <c r="B44" s="59">
        <f t="shared" ref="B44:M44" si="6">B42/B43</f>
        <v>130.36363636363637</v>
      </c>
      <c r="C44" s="59">
        <f t="shared" si="6"/>
        <v>104.06060606060606</v>
      </c>
      <c r="D44" s="59">
        <f t="shared" si="6"/>
        <v>101.96969696969697</v>
      </c>
      <c r="E44" s="59">
        <f t="shared" si="6"/>
        <v>73.484848484848484</v>
      </c>
      <c r="F44" s="59">
        <f t="shared" si="6"/>
        <v>117.45454545454545</v>
      </c>
      <c r="G44" s="59">
        <f t="shared" si="6"/>
        <v>124.57575757575758</v>
      </c>
      <c r="H44" s="59">
        <f t="shared" si="6"/>
        <v>197.18181818181819</v>
      </c>
      <c r="I44" s="59">
        <f t="shared" si="6"/>
        <v>161.06060606060606</v>
      </c>
      <c r="J44" s="59">
        <f t="shared" si="6"/>
        <v>212.5151515151515</v>
      </c>
      <c r="K44" s="59">
        <f t="shared" si="6"/>
        <v>157</v>
      </c>
      <c r="L44" s="59">
        <f t="shared" si="6"/>
        <v>94.060606060606062</v>
      </c>
      <c r="M44" s="59">
        <f t="shared" si="6"/>
        <v>75.333333333333329</v>
      </c>
      <c r="N44" s="59">
        <f>SUM(B44:M44)</f>
        <v>1549.060606060606</v>
      </c>
    </row>
    <row r="45" spans="1:29">
      <c r="A45" s="39"/>
    </row>
    <row r="46" spans="1:29">
      <c r="A46" s="39" t="s">
        <v>387</v>
      </c>
      <c r="B46" s="61">
        <v>154575.72</v>
      </c>
      <c r="C46" s="61">
        <v>175313.51</v>
      </c>
      <c r="D46" s="61">
        <v>66561.72</v>
      </c>
      <c r="E46" s="61">
        <v>109176.4</v>
      </c>
      <c r="F46" s="61">
        <v>189279.3</v>
      </c>
      <c r="G46" s="61">
        <v>166662.31</v>
      </c>
      <c r="H46" s="61">
        <v>207409.16</v>
      </c>
      <c r="I46" s="61">
        <v>171069.61</v>
      </c>
      <c r="J46" s="61">
        <v>162731.34</v>
      </c>
      <c r="K46" s="61">
        <v>213347.31</v>
      </c>
      <c r="L46" s="61">
        <v>331654.71000000002</v>
      </c>
      <c r="M46" s="61">
        <v>216364</v>
      </c>
      <c r="N46" s="47">
        <f>SUM(B46:M46)</f>
        <v>2164145.09</v>
      </c>
      <c r="O46" s="45"/>
      <c r="P46" s="45"/>
      <c r="Q46" s="45"/>
      <c r="R46" s="45"/>
      <c r="S46" s="45"/>
      <c r="T46" s="45"/>
      <c r="U46" s="45"/>
      <c r="V46" s="45"/>
      <c r="W46" s="45"/>
      <c r="X46" s="45"/>
      <c r="Y46" s="45"/>
      <c r="Z46" s="45"/>
      <c r="AA46" s="45"/>
      <c r="AB46" s="45"/>
      <c r="AC46" s="45"/>
    </row>
    <row r="47" spans="1:29">
      <c r="A47" s="39" t="s">
        <v>381</v>
      </c>
      <c r="B47" s="40">
        <v>13.64</v>
      </c>
      <c r="C47" s="40">
        <v>13.64</v>
      </c>
      <c r="D47" s="40">
        <v>13.64</v>
      </c>
      <c r="E47" s="40">
        <v>13.64</v>
      </c>
      <c r="F47" s="40">
        <v>13.64</v>
      </c>
      <c r="G47" s="40">
        <v>13.64</v>
      </c>
      <c r="H47" s="40">
        <v>13.64</v>
      </c>
      <c r="I47" s="40">
        <v>13.64</v>
      </c>
      <c r="J47" s="57">
        <v>13.8</v>
      </c>
      <c r="K47" s="57">
        <v>13.8</v>
      </c>
      <c r="L47" s="57">
        <v>13.8</v>
      </c>
      <c r="M47" s="57">
        <v>13.8</v>
      </c>
    </row>
    <row r="48" spans="1:29" s="64" customFormat="1">
      <c r="A48" s="62" t="s">
        <v>388</v>
      </c>
      <c r="B48" s="63">
        <f t="shared" ref="B48:M48" si="7">B46/B47</f>
        <v>11332.530791788857</v>
      </c>
      <c r="C48" s="63">
        <f t="shared" si="7"/>
        <v>12852.896627565982</v>
      </c>
      <c r="D48" s="63">
        <f t="shared" si="7"/>
        <v>4879.8914956011731</v>
      </c>
      <c r="E48" s="63">
        <f t="shared" si="7"/>
        <v>8004.1348973607028</v>
      </c>
      <c r="F48" s="63">
        <f t="shared" si="7"/>
        <v>13876.781524926684</v>
      </c>
      <c r="G48" s="63">
        <f t="shared" si="7"/>
        <v>12218.644428152493</v>
      </c>
      <c r="H48" s="63">
        <f t="shared" si="7"/>
        <v>15205.950146627565</v>
      </c>
      <c r="I48" s="63">
        <f t="shared" si="7"/>
        <v>12541.760263929616</v>
      </c>
      <c r="J48" s="63">
        <f t="shared" si="7"/>
        <v>11792.126086956521</v>
      </c>
      <c r="K48" s="63">
        <f t="shared" si="7"/>
        <v>15459.949999999999</v>
      </c>
      <c r="L48" s="63">
        <f t="shared" si="7"/>
        <v>24032.95</v>
      </c>
      <c r="M48" s="63">
        <f t="shared" si="7"/>
        <v>15678.55072463768</v>
      </c>
    </row>
    <row r="49" spans="1:15">
      <c r="A49" s="39"/>
      <c r="J49" s="57"/>
      <c r="K49" s="57"/>
      <c r="L49" s="57"/>
      <c r="M49" s="57"/>
    </row>
    <row r="50" spans="1:15" s="39" customFormat="1">
      <c r="A50" s="39" t="s">
        <v>389</v>
      </c>
      <c r="B50" s="44">
        <f t="shared" ref="B50:M50" si="8">B38+B42+B46</f>
        <v>279171.71999999997</v>
      </c>
      <c r="C50" s="44">
        <f t="shared" si="8"/>
        <v>294936.51</v>
      </c>
      <c r="D50" s="44">
        <f t="shared" si="8"/>
        <v>188964.72</v>
      </c>
      <c r="E50" s="44">
        <f t="shared" si="8"/>
        <v>229736.4</v>
      </c>
      <c r="F50" s="44">
        <f t="shared" si="8"/>
        <v>316487.3</v>
      </c>
      <c r="G50" s="44">
        <f t="shared" si="8"/>
        <v>296652.31</v>
      </c>
      <c r="H50" s="44">
        <f t="shared" si="8"/>
        <v>329010.16000000003</v>
      </c>
      <c r="I50" s="44">
        <f t="shared" si="8"/>
        <v>278777.61</v>
      </c>
      <c r="J50" s="44">
        <f t="shared" si="8"/>
        <v>320057.33999999997</v>
      </c>
      <c r="K50" s="44">
        <f t="shared" si="8"/>
        <v>343893.31</v>
      </c>
      <c r="L50" s="44">
        <f t="shared" si="8"/>
        <v>469710.71</v>
      </c>
      <c r="M50" s="44">
        <f t="shared" si="8"/>
        <v>350442</v>
      </c>
      <c r="N50" s="65">
        <f>SUM(B50:M50)</f>
        <v>3697840.09</v>
      </c>
      <c r="O50" s="66">
        <f>N38+N42+N46</f>
        <v>3697840.09</v>
      </c>
    </row>
    <row r="51" spans="1:15" s="39" customFormat="1"/>
    <row r="52" spans="1:15" s="39" customFormat="1">
      <c r="A52" s="39" t="s">
        <v>375</v>
      </c>
      <c r="B52" s="44">
        <f t="shared" ref="B52:M52" si="9">B40+B44+B48</f>
        <v>12528.008648092284</v>
      </c>
      <c r="C52" s="44">
        <f t="shared" si="9"/>
        <v>13985.724720787914</v>
      </c>
      <c r="D52" s="44">
        <f t="shared" si="9"/>
        <v>6035.8544633341071</v>
      </c>
      <c r="E52" s="44">
        <f t="shared" si="9"/>
        <v>9123.6176208234156</v>
      </c>
      <c r="F52" s="44">
        <f t="shared" si="9"/>
        <v>15086.249528854756</v>
      </c>
      <c r="G52" s="44">
        <f t="shared" si="9"/>
        <v>13457.785441616332</v>
      </c>
      <c r="H52" s="44">
        <f t="shared" si="9"/>
        <v>16422.204038476819</v>
      </c>
      <c r="I52" s="44">
        <f t="shared" si="9"/>
        <v>13609.435001387425</v>
      </c>
      <c r="J52" s="44">
        <f t="shared" si="9"/>
        <v>13223.823653914937</v>
      </c>
      <c r="K52" s="44">
        <f t="shared" si="9"/>
        <v>16633.780237651066</v>
      </c>
      <c r="L52" s="44">
        <f t="shared" si="9"/>
        <v>25221.600597138553</v>
      </c>
      <c r="M52" s="44">
        <f t="shared" si="9"/>
        <v>16821.221230491086</v>
      </c>
      <c r="N52" s="44">
        <f>SUM(B52:M52)</f>
        <v>172149.3051825687</v>
      </c>
    </row>
    <row r="53" spans="1:15">
      <c r="A53" s="39"/>
      <c r="B53" s="45"/>
      <c r="C53" s="45"/>
      <c r="D53" s="45"/>
      <c r="E53" s="45"/>
      <c r="F53" s="45"/>
      <c r="G53" s="45"/>
      <c r="H53" s="45"/>
      <c r="I53" s="45"/>
      <c r="J53" s="45"/>
      <c r="K53" s="45"/>
      <c r="L53" s="45"/>
      <c r="M53" s="45"/>
      <c r="N53" s="45"/>
    </row>
    <row r="54" spans="1:15">
      <c r="A54" s="39"/>
      <c r="B54" s="45"/>
      <c r="C54" s="45"/>
      <c r="D54" s="45"/>
      <c r="E54" s="45"/>
      <c r="F54" s="45"/>
      <c r="G54" s="45"/>
      <c r="H54" s="45"/>
      <c r="I54" s="45"/>
      <c r="J54" s="45"/>
      <c r="K54" s="45"/>
      <c r="L54" s="45"/>
      <c r="M54" s="45"/>
      <c r="N54" s="45"/>
    </row>
    <row r="55" spans="1:15" s="39" customFormat="1">
      <c r="A55" s="39" t="s">
        <v>376</v>
      </c>
      <c r="B55" s="44">
        <f t="shared" ref="B55:M55" si="10">B27-B50</f>
        <v>397656.28</v>
      </c>
      <c r="C55" s="44">
        <f t="shared" si="10"/>
        <v>358689.49</v>
      </c>
      <c r="D55" s="44">
        <f t="shared" si="10"/>
        <v>390774.28</v>
      </c>
      <c r="E55" s="44">
        <f t="shared" si="10"/>
        <v>322451.59999999998</v>
      </c>
      <c r="F55" s="44">
        <f t="shared" si="10"/>
        <v>355521.7</v>
      </c>
      <c r="G55" s="44">
        <f t="shared" si="10"/>
        <v>371838.69</v>
      </c>
      <c r="H55" s="44">
        <f t="shared" si="10"/>
        <v>317770.83999999997</v>
      </c>
      <c r="I55" s="44">
        <f t="shared" si="10"/>
        <v>337165.39</v>
      </c>
      <c r="J55" s="44">
        <f t="shared" si="10"/>
        <v>423146.30000000005</v>
      </c>
      <c r="K55" s="44">
        <f t="shared" si="10"/>
        <v>374464.69</v>
      </c>
      <c r="L55" s="44">
        <f t="shared" si="10"/>
        <v>418228.29</v>
      </c>
      <c r="M55" s="44">
        <f t="shared" si="10"/>
        <v>417483</v>
      </c>
      <c r="N55" s="65">
        <f>SUM(B55:M55)</f>
        <v>4485190.5500000007</v>
      </c>
      <c r="O55" s="55">
        <f>N50+N55</f>
        <v>8183030.6400000006</v>
      </c>
    </row>
    <row r="56" spans="1:15">
      <c r="A56" s="39"/>
      <c r="B56" s="45"/>
      <c r="C56" s="45"/>
      <c r="D56" s="45"/>
      <c r="E56" s="45"/>
      <c r="F56" s="45"/>
      <c r="G56" s="45"/>
      <c r="H56" s="45"/>
      <c r="I56" s="45"/>
      <c r="J56" s="45"/>
      <c r="K56" s="45"/>
      <c r="L56" s="45"/>
      <c r="M56" s="45"/>
      <c r="N56" s="47"/>
    </row>
    <row r="57" spans="1:15">
      <c r="A57" s="39" t="s">
        <v>390</v>
      </c>
      <c r="B57" s="45">
        <v>336092</v>
      </c>
      <c r="C57" s="45">
        <v>304611</v>
      </c>
      <c r="D57" s="45">
        <v>335972</v>
      </c>
      <c r="E57" s="45">
        <v>264891</v>
      </c>
      <c r="F57" s="45">
        <v>294980</v>
      </c>
      <c r="G57" s="45">
        <v>310760</v>
      </c>
      <c r="H57" s="45">
        <v>262341</v>
      </c>
      <c r="I57" s="45">
        <v>288256</v>
      </c>
      <c r="J57" s="45">
        <v>357813</v>
      </c>
      <c r="K57" s="45">
        <v>314469</v>
      </c>
      <c r="L57" s="45">
        <v>354370</v>
      </c>
      <c r="M57" s="45">
        <v>354032</v>
      </c>
      <c r="N57" s="47">
        <f>SUM(B57:M57)</f>
        <v>3778587</v>
      </c>
    </row>
    <row r="58" spans="1:15">
      <c r="A58" s="39" t="s">
        <v>372</v>
      </c>
      <c r="B58" s="40">
        <v>112.94</v>
      </c>
      <c r="C58" s="40">
        <v>112.94</v>
      </c>
      <c r="D58" s="40">
        <v>112.94</v>
      </c>
      <c r="E58" s="40">
        <v>112.94</v>
      </c>
      <c r="F58" s="40">
        <v>112.94</v>
      </c>
      <c r="G58" s="40">
        <v>112.94</v>
      </c>
      <c r="H58" s="40">
        <v>112.94</v>
      </c>
      <c r="I58" s="40">
        <v>112.94</v>
      </c>
      <c r="J58" s="40">
        <v>123.29</v>
      </c>
      <c r="K58" s="40">
        <v>123.29</v>
      </c>
      <c r="L58" s="40">
        <v>123.29</v>
      </c>
      <c r="M58" s="40">
        <v>123.29</v>
      </c>
    </row>
    <row r="59" spans="1:15" s="45" customFormat="1">
      <c r="A59" s="44" t="s">
        <v>391</v>
      </c>
      <c r="B59" s="45">
        <f t="shared" ref="B59:M59" si="11">B57/B58</f>
        <v>2975.8455817248096</v>
      </c>
      <c r="C59" s="45">
        <f t="shared" si="11"/>
        <v>2697.1046573401809</v>
      </c>
      <c r="D59" s="45">
        <f t="shared" si="11"/>
        <v>2974.7830706569862</v>
      </c>
      <c r="E59" s="45">
        <f t="shared" si="11"/>
        <v>2345.4134938905613</v>
      </c>
      <c r="F59" s="45">
        <f t="shared" si="11"/>
        <v>2611.8292898884365</v>
      </c>
      <c r="G59" s="45">
        <f t="shared" si="11"/>
        <v>2751.549495307243</v>
      </c>
      <c r="H59" s="45">
        <f t="shared" si="11"/>
        <v>2322.8351336993096</v>
      </c>
      <c r="I59" s="45">
        <f t="shared" si="11"/>
        <v>2552.2932530547196</v>
      </c>
      <c r="J59" s="45">
        <f t="shared" si="11"/>
        <v>2902.2061805499229</v>
      </c>
      <c r="K59" s="45">
        <f t="shared" si="11"/>
        <v>2550.644821153378</v>
      </c>
      <c r="L59" s="45">
        <f t="shared" si="11"/>
        <v>2874.2801524860083</v>
      </c>
      <c r="M59" s="45">
        <f t="shared" si="11"/>
        <v>2871.5386487144128</v>
      </c>
      <c r="N59" s="45">
        <f>SUM(B59:M59)</f>
        <v>32430.323778465965</v>
      </c>
    </row>
    <row r="60" spans="1:15">
      <c r="A60" s="39"/>
      <c r="B60" s="45"/>
      <c r="C60" s="45"/>
      <c r="D60" s="45"/>
      <c r="E60" s="45"/>
      <c r="F60" s="45"/>
      <c r="G60" s="45"/>
      <c r="H60" s="45"/>
      <c r="I60" s="45"/>
      <c r="J60" s="45"/>
      <c r="K60" s="45"/>
      <c r="L60" s="45"/>
      <c r="M60" s="45"/>
    </row>
    <row r="61" spans="1:15">
      <c r="A61" s="40" t="s">
        <v>392</v>
      </c>
      <c r="B61" s="45">
        <v>61564</v>
      </c>
      <c r="C61" s="45">
        <v>54078</v>
      </c>
      <c r="D61" s="45">
        <v>54802</v>
      </c>
      <c r="E61" s="45">
        <v>57561</v>
      </c>
      <c r="F61" s="45">
        <v>60542</v>
      </c>
      <c r="G61" s="45">
        <v>61079</v>
      </c>
      <c r="H61" s="45">
        <v>55430</v>
      </c>
      <c r="I61" s="45">
        <v>48909</v>
      </c>
      <c r="J61" s="45">
        <v>65333</v>
      </c>
      <c r="K61" s="45">
        <v>59996</v>
      </c>
      <c r="L61" s="45">
        <v>63858</v>
      </c>
      <c r="M61" s="45">
        <v>63451</v>
      </c>
      <c r="N61" s="47">
        <f>SUM(B61:M61)</f>
        <v>706603</v>
      </c>
    </row>
    <row r="62" spans="1:15">
      <c r="A62" s="39" t="s">
        <v>372</v>
      </c>
      <c r="B62" s="57">
        <v>33</v>
      </c>
      <c r="C62" s="57">
        <v>33</v>
      </c>
      <c r="D62" s="57">
        <v>33</v>
      </c>
      <c r="E62" s="57">
        <v>33</v>
      </c>
      <c r="F62" s="57">
        <v>33</v>
      </c>
      <c r="G62" s="57">
        <v>33</v>
      </c>
      <c r="H62" s="57">
        <v>33</v>
      </c>
      <c r="I62" s="57">
        <v>33</v>
      </c>
      <c r="J62" s="57">
        <v>33</v>
      </c>
      <c r="K62" s="57">
        <v>33</v>
      </c>
      <c r="L62" s="57">
        <v>33</v>
      </c>
      <c r="M62" s="57">
        <v>33</v>
      </c>
      <c r="N62" s="57"/>
    </row>
    <row r="63" spans="1:15" s="60" customFormat="1">
      <c r="A63" s="58" t="s">
        <v>393</v>
      </c>
      <c r="B63" s="59">
        <f t="shared" ref="B63:M63" si="12">B61/B62</f>
        <v>1865.5757575757575</v>
      </c>
      <c r="C63" s="59">
        <f t="shared" si="12"/>
        <v>1638.7272727272727</v>
      </c>
      <c r="D63" s="59">
        <f t="shared" si="12"/>
        <v>1660.6666666666667</v>
      </c>
      <c r="E63" s="59">
        <f t="shared" si="12"/>
        <v>1744.2727272727273</v>
      </c>
      <c r="F63" s="59">
        <f t="shared" si="12"/>
        <v>1834.6060606060605</v>
      </c>
      <c r="G63" s="59">
        <f t="shared" si="12"/>
        <v>1850.878787878788</v>
      </c>
      <c r="H63" s="59">
        <f t="shared" si="12"/>
        <v>1679.6969696969697</v>
      </c>
      <c r="I63" s="59">
        <f t="shared" si="12"/>
        <v>1482.090909090909</v>
      </c>
      <c r="J63" s="59">
        <f t="shared" si="12"/>
        <v>1979.7878787878788</v>
      </c>
      <c r="K63" s="59">
        <f t="shared" si="12"/>
        <v>1818.060606060606</v>
      </c>
      <c r="L63" s="59">
        <f t="shared" si="12"/>
        <v>1935.090909090909</v>
      </c>
      <c r="M63" s="59">
        <f t="shared" si="12"/>
        <v>1922.7575757575758</v>
      </c>
      <c r="N63" s="59">
        <f>SUM(B63:M63)</f>
        <v>21412.21212121212</v>
      </c>
    </row>
    <row r="64" spans="1:15">
      <c r="A64" s="40" t="s">
        <v>394</v>
      </c>
      <c r="B64" s="45">
        <f t="shared" ref="B64:M64" si="13">B57+B61-B55</f>
        <v>-0.28000000002793968</v>
      </c>
      <c r="C64" s="45">
        <f t="shared" si="13"/>
        <v>-0.48999999999068677</v>
      </c>
      <c r="D64" s="45">
        <f t="shared" si="13"/>
        <v>-0.28000000002793968</v>
      </c>
      <c r="E64" s="45">
        <f t="shared" si="13"/>
        <v>0.40000000002328306</v>
      </c>
      <c r="F64" s="45">
        <f t="shared" si="13"/>
        <v>0.29999999998835847</v>
      </c>
      <c r="G64" s="45">
        <f t="shared" si="13"/>
        <v>0.30999999999767169</v>
      </c>
      <c r="H64" s="45">
        <f t="shared" si="13"/>
        <v>0.16000000003259629</v>
      </c>
      <c r="I64" s="45">
        <f t="shared" si="13"/>
        <v>-0.39000000001396984</v>
      </c>
      <c r="J64" s="45">
        <f t="shared" si="13"/>
        <v>-0.30000000004656613</v>
      </c>
      <c r="K64" s="45">
        <f t="shared" si="13"/>
        <v>0.30999999999767169</v>
      </c>
      <c r="L64" s="45">
        <f t="shared" si="13"/>
        <v>-0.28999999997904524</v>
      </c>
      <c r="M64" s="45">
        <f t="shared" si="13"/>
        <v>0</v>
      </c>
      <c r="N64" s="45"/>
      <c r="O64" s="45"/>
    </row>
    <row r="65" spans="1:14">
      <c r="A65" s="50"/>
      <c r="B65" s="51"/>
      <c r="C65" s="51"/>
      <c r="D65" s="51"/>
      <c r="E65" s="51"/>
      <c r="F65" s="51"/>
      <c r="G65" s="51"/>
      <c r="H65" s="51"/>
      <c r="I65" s="51"/>
      <c r="J65" s="51"/>
      <c r="K65" s="51"/>
      <c r="L65" s="51"/>
      <c r="M65" s="51"/>
      <c r="N65" s="52"/>
    </row>
    <row r="66" spans="1:14">
      <c r="A66" s="39"/>
      <c r="B66" s="45"/>
      <c r="C66" s="45"/>
      <c r="D66" s="45"/>
      <c r="E66" s="45"/>
      <c r="F66" s="45"/>
      <c r="G66" s="45"/>
      <c r="H66" s="45"/>
      <c r="I66" s="45"/>
      <c r="J66" s="45"/>
      <c r="K66" s="45"/>
      <c r="L66" s="45"/>
      <c r="M66" s="45"/>
    </row>
    <row r="67" spans="1:14" s="69" customFormat="1">
      <c r="A67" s="67"/>
      <c r="B67" s="68"/>
      <c r="C67" s="68"/>
      <c r="D67" s="68"/>
      <c r="E67" s="68"/>
      <c r="F67" s="68"/>
      <c r="G67" s="68"/>
      <c r="H67" s="68"/>
      <c r="I67" s="68"/>
      <c r="J67" s="68"/>
      <c r="K67" s="68"/>
      <c r="L67" s="68"/>
      <c r="M67" s="68"/>
    </row>
    <row r="68" spans="1:14" s="69" customFormat="1" ht="12.75">
      <c r="A68" s="70" t="s">
        <v>395</v>
      </c>
      <c r="B68" s="71"/>
      <c r="C68" s="71"/>
      <c r="D68" s="71"/>
      <c r="E68" s="71"/>
      <c r="F68" s="68"/>
      <c r="G68" s="68"/>
      <c r="H68" s="68"/>
      <c r="I68" s="68"/>
      <c r="J68" s="68"/>
      <c r="K68" s="68"/>
      <c r="L68" s="68"/>
      <c r="M68" s="68"/>
    </row>
    <row r="69" spans="1:14" s="69" customFormat="1" ht="12.75">
      <c r="A69" s="71"/>
      <c r="B69" s="71"/>
      <c r="C69" s="71"/>
      <c r="D69" s="71"/>
      <c r="E69" s="71"/>
      <c r="F69" s="68"/>
      <c r="G69" s="68"/>
      <c r="H69" s="68"/>
      <c r="I69" s="68"/>
      <c r="J69" s="68"/>
      <c r="K69" s="68"/>
      <c r="L69" s="68"/>
      <c r="M69" s="68"/>
    </row>
    <row r="70" spans="1:14" s="69" customFormat="1" ht="12.75">
      <c r="A70" s="71"/>
      <c r="B70" s="71"/>
      <c r="C70" s="71"/>
      <c r="D70" s="71"/>
      <c r="E70" s="71"/>
      <c r="F70" s="68"/>
      <c r="G70" s="68"/>
      <c r="H70" s="68"/>
      <c r="I70" s="68"/>
      <c r="J70" s="68"/>
      <c r="K70" s="68"/>
      <c r="L70" s="68"/>
      <c r="M70" s="68"/>
    </row>
    <row r="71" spans="1:14" s="69" customFormat="1" ht="12.75">
      <c r="A71" s="70" t="s">
        <v>396</v>
      </c>
      <c r="B71" s="72" t="s">
        <v>397</v>
      </c>
      <c r="C71" s="72" t="s">
        <v>398</v>
      </c>
      <c r="D71" s="72" t="s">
        <v>399</v>
      </c>
      <c r="E71" s="72" t="s">
        <v>368</v>
      </c>
      <c r="F71" s="68"/>
      <c r="G71" s="68"/>
      <c r="H71" s="68"/>
      <c r="I71" s="68"/>
      <c r="J71" s="68"/>
      <c r="K71" s="68"/>
      <c r="L71" s="68"/>
      <c r="M71" s="68"/>
    </row>
    <row r="72" spans="1:14" s="69" customFormat="1" ht="12.75">
      <c r="A72" s="70" t="s">
        <v>400</v>
      </c>
      <c r="B72" s="72" t="s">
        <v>401</v>
      </c>
      <c r="C72" s="72" t="s">
        <v>401</v>
      </c>
      <c r="D72" s="72" t="s">
        <v>401</v>
      </c>
      <c r="E72" s="72" t="s">
        <v>401</v>
      </c>
      <c r="F72" s="68"/>
      <c r="G72" s="68"/>
      <c r="H72" s="68"/>
      <c r="I72" s="68"/>
      <c r="J72" s="68"/>
      <c r="K72" s="68"/>
      <c r="L72" s="68"/>
      <c r="M72" s="68"/>
    </row>
    <row r="73" spans="1:14" s="69" customFormat="1" ht="12.75">
      <c r="A73" s="73" t="s">
        <v>402</v>
      </c>
      <c r="B73" s="74">
        <v>2384.4699999999998</v>
      </c>
      <c r="C73" s="74">
        <v>3607.39</v>
      </c>
      <c r="D73" s="74">
        <v>998.03</v>
      </c>
      <c r="E73" s="74">
        <f>SUM(B73:D73)</f>
        <v>6989.8899999999994</v>
      </c>
      <c r="F73" s="75">
        <f t="shared" ref="F73:F83" si="14">E73*2.43</f>
        <v>16985.432700000001</v>
      </c>
      <c r="G73" s="76"/>
      <c r="H73" s="76"/>
      <c r="I73" s="76"/>
      <c r="J73" s="76"/>
      <c r="K73" s="76"/>
      <c r="L73" s="76"/>
      <c r="M73" s="76"/>
      <c r="N73" s="68"/>
    </row>
    <row r="74" spans="1:14" s="69" customFormat="1" ht="12.75">
      <c r="A74" s="73" t="s">
        <v>403</v>
      </c>
      <c r="B74" s="74">
        <v>2407.25</v>
      </c>
      <c r="C74" s="74">
        <v>3567.19</v>
      </c>
      <c r="D74" s="74">
        <v>1019.52</v>
      </c>
      <c r="E74" s="74">
        <f t="shared" ref="E74:E84" si="15">SUM(B74:D74)</f>
        <v>6993.9600000000009</v>
      </c>
      <c r="F74" s="75">
        <f t="shared" si="14"/>
        <v>16995.322800000002</v>
      </c>
      <c r="G74" s="76"/>
      <c r="H74" s="76"/>
      <c r="I74" s="76"/>
      <c r="J74" s="76"/>
      <c r="K74" s="76"/>
      <c r="L74" s="76"/>
      <c r="M74" s="76"/>
      <c r="N74" s="68"/>
    </row>
    <row r="75" spans="1:14" s="69" customFormat="1" ht="12.75">
      <c r="A75" s="73" t="s">
        <v>404</v>
      </c>
      <c r="B75" s="74">
        <v>2441.25</v>
      </c>
      <c r="C75" s="74">
        <v>3716.75</v>
      </c>
      <c r="D75" s="74">
        <v>1334.37</v>
      </c>
      <c r="E75" s="74">
        <f t="shared" si="15"/>
        <v>7492.37</v>
      </c>
      <c r="F75" s="75">
        <f t="shared" si="14"/>
        <v>18206.4591</v>
      </c>
      <c r="G75" s="76"/>
      <c r="H75" s="76"/>
      <c r="I75" s="76"/>
      <c r="J75" s="76"/>
      <c r="K75" s="76"/>
      <c r="L75" s="76"/>
      <c r="M75" s="76"/>
      <c r="N75" s="76"/>
    </row>
    <row r="76" spans="1:14" s="69" customFormat="1" ht="12.75">
      <c r="A76" s="73" t="s">
        <v>405</v>
      </c>
      <c r="B76" s="74">
        <v>2287.98</v>
      </c>
      <c r="C76" s="74">
        <v>3519.07</v>
      </c>
      <c r="D76" s="74">
        <v>1447.12</v>
      </c>
      <c r="E76" s="74">
        <f t="shared" si="15"/>
        <v>7254.17</v>
      </c>
      <c r="F76" s="75">
        <f t="shared" si="14"/>
        <v>17627.633100000003</v>
      </c>
      <c r="G76" s="77"/>
      <c r="H76" s="77"/>
      <c r="I76" s="77"/>
      <c r="J76" s="77"/>
      <c r="K76" s="77"/>
      <c r="L76" s="77"/>
      <c r="M76" s="77"/>
    </row>
    <row r="77" spans="1:14" ht="12.75">
      <c r="A77" s="73" t="s">
        <v>406</v>
      </c>
      <c r="B77" s="74">
        <v>2471.94</v>
      </c>
      <c r="C77" s="74">
        <v>3678.54</v>
      </c>
      <c r="D77" s="74">
        <v>1503.57</v>
      </c>
      <c r="E77" s="74">
        <f t="shared" si="15"/>
        <v>7654.0499999999993</v>
      </c>
      <c r="F77" s="75">
        <f t="shared" si="14"/>
        <v>18599.341499999999</v>
      </c>
      <c r="G77" s="75"/>
      <c r="H77" s="75"/>
      <c r="I77" s="75"/>
      <c r="J77" s="78"/>
      <c r="K77" s="75"/>
      <c r="L77" s="75"/>
      <c r="M77" s="75"/>
      <c r="N77" s="45"/>
    </row>
    <row r="78" spans="1:14" ht="12.75">
      <c r="A78" s="73" t="s">
        <v>407</v>
      </c>
      <c r="B78" s="74">
        <v>2664.16</v>
      </c>
      <c r="C78" s="74">
        <v>3770.91</v>
      </c>
      <c r="D78" s="74">
        <v>1621.82</v>
      </c>
      <c r="E78" s="74">
        <f t="shared" si="15"/>
        <v>8056.8899999999994</v>
      </c>
      <c r="F78" s="75">
        <f t="shared" si="14"/>
        <v>19578.242699999999</v>
      </c>
      <c r="G78" s="75"/>
      <c r="H78" s="75"/>
      <c r="I78" s="75"/>
      <c r="J78" s="75"/>
      <c r="K78" s="75"/>
      <c r="L78" s="75"/>
      <c r="M78" s="75"/>
    </row>
    <row r="79" spans="1:14" ht="12.75">
      <c r="A79" s="73" t="s">
        <v>408</v>
      </c>
      <c r="B79" s="74">
        <v>2344.5700000000002</v>
      </c>
      <c r="C79" s="74">
        <v>3384.2</v>
      </c>
      <c r="D79" s="74">
        <v>1579.61</v>
      </c>
      <c r="E79" s="74">
        <f t="shared" si="15"/>
        <v>7308.38</v>
      </c>
      <c r="F79" s="75">
        <f t="shared" si="14"/>
        <v>17759.363400000002</v>
      </c>
      <c r="G79" s="75"/>
      <c r="H79" s="75"/>
      <c r="I79" s="75"/>
      <c r="J79" s="75"/>
      <c r="K79" s="75"/>
      <c r="L79" s="75"/>
      <c r="M79" s="75"/>
    </row>
    <row r="80" spans="1:14" ht="12.75">
      <c r="A80" s="73" t="s">
        <v>409</v>
      </c>
      <c r="B80" s="74">
        <v>2162.4299999999998</v>
      </c>
      <c r="C80" s="74">
        <v>3125.98</v>
      </c>
      <c r="D80" s="74">
        <v>1403.98</v>
      </c>
      <c r="E80" s="74">
        <f t="shared" si="15"/>
        <v>6692.3899999999994</v>
      </c>
      <c r="F80" s="75">
        <f t="shared" si="14"/>
        <v>16262.5077</v>
      </c>
      <c r="G80" s="75"/>
      <c r="H80" s="75"/>
      <c r="I80" s="75"/>
      <c r="J80" s="75"/>
      <c r="K80" s="75"/>
      <c r="L80" s="75"/>
      <c r="M80" s="75"/>
    </row>
    <row r="81" spans="1:13" ht="12.75">
      <c r="A81" s="73" t="s">
        <v>410</v>
      </c>
      <c r="B81" s="74">
        <v>2477.84</v>
      </c>
      <c r="C81" s="74">
        <v>3616.94</v>
      </c>
      <c r="D81" s="74">
        <v>1832.12</v>
      </c>
      <c r="E81" s="74">
        <f t="shared" si="15"/>
        <v>7926.9000000000005</v>
      </c>
      <c r="F81" s="75">
        <f t="shared" si="14"/>
        <v>19262.367000000002</v>
      </c>
      <c r="G81" s="79"/>
      <c r="H81" s="79"/>
      <c r="I81" s="79"/>
      <c r="J81" s="79"/>
      <c r="K81" s="79"/>
      <c r="L81" s="79"/>
      <c r="M81" s="79"/>
    </row>
    <row r="82" spans="1:13" ht="12.75">
      <c r="A82" s="73" t="s">
        <v>411</v>
      </c>
      <c r="B82" s="74">
        <v>1953.32</v>
      </c>
      <c r="C82" s="74">
        <v>3582.07</v>
      </c>
      <c r="D82" s="74">
        <v>1669.62</v>
      </c>
      <c r="E82" s="74">
        <f t="shared" si="15"/>
        <v>7205.01</v>
      </c>
      <c r="F82" s="75">
        <f t="shared" si="14"/>
        <v>17508.174300000002</v>
      </c>
      <c r="G82" s="75"/>
      <c r="H82" s="75"/>
      <c r="I82" s="75"/>
      <c r="J82" s="75"/>
      <c r="K82" s="75"/>
      <c r="L82" s="75"/>
      <c r="M82" s="75"/>
    </row>
    <row r="83" spans="1:13" ht="12.75">
      <c r="A83" s="73" t="s">
        <v>412</v>
      </c>
      <c r="B83" s="74">
        <v>2073.2399999999998</v>
      </c>
      <c r="C83" s="74">
        <v>3800.1</v>
      </c>
      <c r="D83" s="74">
        <v>1488.46</v>
      </c>
      <c r="E83" s="74">
        <f t="shared" si="15"/>
        <v>7361.8</v>
      </c>
      <c r="F83" s="75">
        <f t="shared" si="14"/>
        <v>17889.174000000003</v>
      </c>
      <c r="G83" s="75"/>
      <c r="H83" s="75"/>
      <c r="I83" s="75"/>
      <c r="J83" s="75"/>
      <c r="K83" s="75"/>
      <c r="L83" s="75"/>
      <c r="M83" s="75"/>
    </row>
    <row r="84" spans="1:13" ht="12.75">
      <c r="A84" s="73" t="s">
        <v>413</v>
      </c>
      <c r="B84" s="74">
        <v>2194.56</v>
      </c>
      <c r="C84" s="74">
        <v>3913.16</v>
      </c>
      <c r="D84" s="74">
        <v>835.6</v>
      </c>
      <c r="E84" s="74">
        <f t="shared" si="15"/>
        <v>6943.32</v>
      </c>
      <c r="F84" s="75">
        <f>E84*2.43</f>
        <v>16872.267599999999</v>
      </c>
      <c r="G84" s="75"/>
      <c r="H84" s="75"/>
      <c r="I84" s="75"/>
      <c r="J84" s="75"/>
      <c r="K84" s="75"/>
      <c r="L84" s="75"/>
      <c r="M84" s="75"/>
    </row>
    <row r="85" spans="1:13" ht="12.75">
      <c r="A85" s="73" t="s">
        <v>373</v>
      </c>
      <c r="B85" s="74">
        <f>SUM(B73:B84)</f>
        <v>27863.01</v>
      </c>
      <c r="C85" s="74">
        <f>SUM(C73:C84)</f>
        <v>43282.3</v>
      </c>
      <c r="D85" s="74">
        <f>SUM(D73:D84)</f>
        <v>16733.819999999996</v>
      </c>
      <c r="E85" s="74">
        <f>SUM(E73:E84)</f>
        <v>87879.13</v>
      </c>
      <c r="F85" s="79">
        <f>SUM(F73:F84)</f>
        <v>213546.28589999999</v>
      </c>
      <c r="G85" s="79"/>
      <c r="H85" s="79"/>
      <c r="I85" s="79"/>
      <c r="J85" s="79"/>
      <c r="K85" s="79"/>
      <c r="L85" s="79"/>
      <c r="M85" s="79"/>
    </row>
    <row r="86" spans="1:13" ht="12.75">
      <c r="A86" s="71"/>
      <c r="B86" s="74"/>
      <c r="C86" s="74"/>
      <c r="D86" s="74"/>
      <c r="E86" s="71"/>
      <c r="F86" s="75"/>
      <c r="G86" s="75"/>
      <c r="H86" s="75"/>
      <c r="I86" s="75"/>
      <c r="J86" s="75"/>
      <c r="K86" s="75"/>
      <c r="L86" s="75"/>
      <c r="M86" s="75"/>
    </row>
    <row r="87" spans="1:13" ht="12.75">
      <c r="A87" s="71"/>
      <c r="B87" s="80">
        <f>B85/E85</f>
        <v>0.31706060358130533</v>
      </c>
      <c r="C87" s="80">
        <f>C85/E85</f>
        <v>0.49252080670348014</v>
      </c>
      <c r="D87" s="80">
        <f>D85/E85</f>
        <v>0.19041858971521447</v>
      </c>
      <c r="E87" s="80">
        <f>SUM(B87:D87)</f>
        <v>1</v>
      </c>
      <c r="F87" s="81"/>
      <c r="G87" s="81"/>
      <c r="H87" s="81"/>
      <c r="I87" s="81"/>
      <c r="J87" s="81"/>
      <c r="K87" s="81"/>
      <c r="L87" s="81"/>
      <c r="M87" s="81"/>
    </row>
    <row r="88" spans="1:13">
      <c r="A88" s="82"/>
      <c r="B88" s="83"/>
      <c r="C88" s="83"/>
      <c r="D88" s="83"/>
      <c r="E88" s="83"/>
      <c r="F88" s="83"/>
      <c r="G88" s="83"/>
      <c r="H88" s="83"/>
      <c r="I88" s="83"/>
      <c r="J88" s="83"/>
      <c r="K88" s="83"/>
      <c r="L88" s="83"/>
      <c r="M88" s="83"/>
    </row>
    <row r="89" spans="1:13">
      <c r="A89" s="40" t="s">
        <v>414</v>
      </c>
      <c r="B89" s="75"/>
      <c r="C89" s="75"/>
      <c r="D89" s="75"/>
      <c r="E89" s="75"/>
      <c r="F89" s="75"/>
      <c r="G89" s="75"/>
      <c r="H89" s="75"/>
      <c r="I89" s="75"/>
      <c r="J89" s="75"/>
      <c r="K89" s="75"/>
      <c r="L89" s="75"/>
      <c r="M89" s="75"/>
    </row>
    <row r="90" spans="1:13">
      <c r="A90" s="40" t="s">
        <v>415</v>
      </c>
      <c r="B90" s="84">
        <v>162</v>
      </c>
      <c r="C90" s="75"/>
      <c r="D90" s="75"/>
      <c r="E90" s="75"/>
      <c r="F90" s="75"/>
      <c r="G90" s="75"/>
      <c r="H90" s="75"/>
      <c r="I90" s="75"/>
      <c r="J90" s="75"/>
      <c r="K90" s="75"/>
      <c r="L90" s="75"/>
      <c r="M90" s="75"/>
    </row>
    <row r="91" spans="1:13">
      <c r="B91" s="75"/>
      <c r="C91" s="75"/>
      <c r="D91" s="75"/>
      <c r="E91" s="75"/>
      <c r="F91" s="75"/>
      <c r="G91" s="75"/>
      <c r="H91" s="75"/>
      <c r="I91" s="75"/>
      <c r="J91" s="75"/>
      <c r="K91" s="75"/>
      <c r="L91" s="75"/>
      <c r="M91" s="75"/>
    </row>
    <row r="92" spans="1:13">
      <c r="B92" s="85">
        <v>2180</v>
      </c>
      <c r="C92" s="85">
        <v>2181</v>
      </c>
      <c r="D92" s="75"/>
      <c r="E92" s="75"/>
      <c r="F92" s="75"/>
      <c r="G92" s="75"/>
      <c r="H92" s="75"/>
      <c r="I92" s="75"/>
      <c r="J92" s="75"/>
      <c r="K92" s="75"/>
      <c r="L92" s="75"/>
      <c r="M92" s="75"/>
    </row>
    <row r="93" spans="1:13">
      <c r="A93" s="39"/>
    </row>
    <row r="94" spans="1:13">
      <c r="A94" s="86" t="s">
        <v>416</v>
      </c>
      <c r="B94" s="87">
        <f>B90*B87</f>
        <v>51.363817780171466</v>
      </c>
      <c r="C94" s="87">
        <f>B90*(C87+D87)</f>
        <v>110.63618221982853</v>
      </c>
      <c r="D94" s="87">
        <f>SUM(B94:C94)</f>
        <v>162</v>
      </c>
      <c r="E94" s="88"/>
      <c r="F94" s="88"/>
      <c r="G94" s="88"/>
      <c r="H94" s="88"/>
      <c r="I94" s="88"/>
      <c r="J94" s="88"/>
      <c r="K94" s="88"/>
      <c r="L94" s="88"/>
      <c r="M94" s="88"/>
    </row>
    <row r="95" spans="1:13">
      <c r="A95" s="89"/>
      <c r="B95" s="90"/>
      <c r="C95" s="90"/>
      <c r="D95" s="90"/>
      <c r="E95" s="90"/>
      <c r="F95" s="90"/>
      <c r="G95" s="90"/>
      <c r="H95" s="90"/>
      <c r="I95" s="90"/>
      <c r="J95" s="90"/>
      <c r="K95" s="90"/>
      <c r="L95" s="90"/>
      <c r="M95" s="90"/>
    </row>
    <row r="96" spans="1:13">
      <c r="A96" s="89"/>
      <c r="B96" s="76"/>
      <c r="C96" s="76"/>
      <c r="D96" s="76"/>
      <c r="E96" s="76"/>
      <c r="F96" s="76"/>
      <c r="G96" s="76"/>
      <c r="H96" s="76"/>
      <c r="I96" s="76"/>
      <c r="J96" s="76"/>
      <c r="K96" s="76"/>
      <c r="L96" s="76"/>
      <c r="M96" s="76"/>
    </row>
    <row r="97" spans="1:13">
      <c r="A97" s="86" t="s">
        <v>417</v>
      </c>
      <c r="B97" s="76">
        <f>N22</f>
        <v>66100.327620506214</v>
      </c>
      <c r="C97" s="91">
        <f>B97/B101</f>
        <v>0.77707569740685178</v>
      </c>
      <c r="D97" s="77"/>
      <c r="E97" s="77"/>
      <c r="F97" s="77"/>
      <c r="G97" s="77"/>
      <c r="H97" s="77"/>
      <c r="I97" s="77"/>
      <c r="J97" s="77"/>
      <c r="K97" s="77"/>
      <c r="L97" s="77"/>
      <c r="M97" s="77"/>
    </row>
    <row r="98" spans="1:13">
      <c r="A98" s="89"/>
      <c r="B98" s="45"/>
      <c r="C98" s="92"/>
      <c r="D98" s="92"/>
      <c r="E98" s="92"/>
      <c r="F98" s="92"/>
      <c r="G98" s="92"/>
      <c r="H98" s="92"/>
      <c r="I98" s="92"/>
      <c r="J98" s="93"/>
      <c r="K98" s="92"/>
      <c r="L98" s="92"/>
      <c r="M98" s="92"/>
    </row>
    <row r="99" spans="1:13">
      <c r="A99" s="86" t="s">
        <v>418</v>
      </c>
      <c r="B99" s="76">
        <f>N16</f>
        <v>18962.592042387601</v>
      </c>
      <c r="C99" s="91">
        <f>B99/B101</f>
        <v>0.22292430259314827</v>
      </c>
      <c r="D99" s="75"/>
      <c r="E99" s="75"/>
      <c r="F99" s="75"/>
      <c r="G99" s="75"/>
      <c r="H99" s="75"/>
      <c r="I99" s="75"/>
      <c r="J99" s="78"/>
      <c r="K99" s="75"/>
      <c r="L99" s="75"/>
      <c r="M99" s="75"/>
    </row>
    <row r="100" spans="1:13">
      <c r="A100" s="89"/>
      <c r="B100" s="94"/>
      <c r="C100" s="75"/>
      <c r="D100" s="75"/>
      <c r="E100" s="75"/>
      <c r="F100" s="75"/>
      <c r="G100" s="75"/>
      <c r="H100" s="75"/>
      <c r="I100" s="75"/>
      <c r="J100" s="78"/>
      <c r="K100" s="75"/>
      <c r="L100" s="75"/>
      <c r="M100" s="75"/>
    </row>
    <row r="101" spans="1:13">
      <c r="A101" s="89"/>
      <c r="B101" s="88">
        <f>SUM(B97:B100)</f>
        <v>85062.919662893808</v>
      </c>
      <c r="C101" s="88"/>
      <c r="D101" s="88"/>
      <c r="E101" s="88"/>
      <c r="F101" s="88"/>
      <c r="G101" s="88"/>
      <c r="H101" s="88"/>
      <c r="I101" s="88"/>
      <c r="J101" s="88"/>
      <c r="K101" s="88"/>
      <c r="L101" s="88"/>
      <c r="M101" s="88"/>
    </row>
    <row r="102" spans="1:13">
      <c r="A102" s="89"/>
      <c r="B102" s="95"/>
      <c r="C102" s="95"/>
      <c r="D102" s="95"/>
      <c r="E102" s="95"/>
      <c r="F102" s="95"/>
      <c r="G102" s="95"/>
      <c r="H102" s="95"/>
      <c r="I102" s="95"/>
      <c r="J102" s="95"/>
      <c r="K102" s="95"/>
      <c r="L102" s="95"/>
      <c r="M102" s="95"/>
    </row>
    <row r="103" spans="1:13">
      <c r="A103" s="89"/>
      <c r="B103" s="96"/>
      <c r="C103" s="96"/>
      <c r="D103" s="96"/>
      <c r="E103" s="96"/>
      <c r="F103" s="96"/>
      <c r="G103" s="96"/>
      <c r="H103" s="96"/>
      <c r="I103" s="96"/>
      <c r="J103" s="97"/>
      <c r="K103" s="96"/>
      <c r="L103" s="96"/>
      <c r="M103" s="96"/>
    </row>
    <row r="104" spans="1:13">
      <c r="J104" s="98"/>
    </row>
    <row r="105" spans="1:13">
      <c r="A105" s="39"/>
      <c r="J105" s="98"/>
    </row>
    <row r="106" spans="1:13">
      <c r="J106" s="97"/>
    </row>
    <row r="107" spans="1:13">
      <c r="J107" s="97"/>
    </row>
    <row r="108" spans="1:13">
      <c r="J108" s="98"/>
    </row>
    <row r="109" spans="1:13" ht="14.25" customHeight="1">
      <c r="A109" s="89"/>
      <c r="B109" s="75"/>
      <c r="C109" s="75"/>
      <c r="D109" s="75"/>
      <c r="E109" s="75"/>
      <c r="F109" s="75"/>
      <c r="G109" s="75"/>
      <c r="H109" s="75"/>
      <c r="I109" s="75"/>
      <c r="J109" s="75"/>
      <c r="K109" s="75"/>
      <c r="L109" s="75"/>
      <c r="M109" s="75"/>
    </row>
    <row r="110" spans="1:13">
      <c r="A110" s="99"/>
      <c r="B110" s="100"/>
      <c r="C110" s="100"/>
      <c r="D110" s="100"/>
      <c r="E110" s="100"/>
      <c r="F110" s="100"/>
      <c r="G110" s="100"/>
      <c r="H110" s="100"/>
      <c r="I110" s="100"/>
      <c r="J110" s="100"/>
      <c r="K110" s="100"/>
      <c r="L110" s="100"/>
      <c r="M110" s="100"/>
    </row>
    <row r="112" spans="1:13">
      <c r="A112" s="89"/>
      <c r="B112" s="75"/>
      <c r="C112" s="75"/>
      <c r="D112" s="75"/>
      <c r="E112" s="75"/>
      <c r="F112" s="75"/>
      <c r="G112" s="75"/>
      <c r="H112" s="75"/>
      <c r="I112" s="75"/>
      <c r="J112" s="75"/>
      <c r="K112" s="75"/>
      <c r="L112" s="75"/>
      <c r="M112" s="75"/>
    </row>
    <row r="113" spans="1:14">
      <c r="A113" s="89"/>
      <c r="B113" s="101"/>
      <c r="C113" s="101"/>
      <c r="D113" s="101"/>
      <c r="E113" s="101"/>
      <c r="F113" s="101"/>
      <c r="G113" s="101"/>
      <c r="H113" s="101"/>
      <c r="I113" s="101"/>
      <c r="J113" s="101"/>
      <c r="K113" s="101"/>
      <c r="L113" s="101"/>
      <c r="M113" s="101"/>
    </row>
    <row r="114" spans="1:14">
      <c r="A114" s="99"/>
      <c r="B114" s="92"/>
      <c r="C114" s="92"/>
      <c r="D114" s="92"/>
      <c r="E114" s="92"/>
      <c r="F114" s="92"/>
      <c r="G114" s="92"/>
      <c r="H114" s="92"/>
      <c r="I114" s="92"/>
      <c r="J114" s="92"/>
      <c r="K114" s="92"/>
      <c r="L114" s="92"/>
      <c r="M114" s="92"/>
    </row>
    <row r="116" spans="1:14">
      <c r="A116" s="102"/>
      <c r="B116" s="81"/>
      <c r="C116" s="81"/>
      <c r="D116" s="81"/>
      <c r="E116" s="81"/>
      <c r="F116" s="81"/>
      <c r="G116" s="81"/>
      <c r="H116" s="81"/>
      <c r="I116" s="81"/>
      <c r="J116" s="81"/>
      <c r="K116" s="81"/>
      <c r="L116" s="81"/>
      <c r="M116" s="81"/>
    </row>
    <row r="117" spans="1:14">
      <c r="A117" s="82"/>
      <c r="B117" s="103"/>
      <c r="C117" s="103"/>
      <c r="D117" s="103"/>
      <c r="E117" s="103"/>
      <c r="F117" s="103"/>
      <c r="G117" s="103"/>
      <c r="H117" s="103"/>
      <c r="I117" s="103"/>
      <c r="J117" s="103"/>
      <c r="K117" s="103"/>
      <c r="L117" s="103"/>
      <c r="M117" s="103"/>
    </row>
    <row r="119" spans="1:14">
      <c r="B119" s="104"/>
      <c r="C119" s="104"/>
      <c r="D119" s="104"/>
      <c r="E119" s="104"/>
      <c r="F119" s="104"/>
      <c r="G119" s="104"/>
      <c r="H119" s="104"/>
      <c r="I119" s="104"/>
      <c r="J119" s="104"/>
      <c r="K119" s="104"/>
      <c r="L119" s="104"/>
      <c r="M119" s="104"/>
    </row>
    <row r="120" spans="1:14">
      <c r="B120" s="104"/>
      <c r="C120" s="104"/>
      <c r="D120" s="104"/>
      <c r="E120" s="104"/>
      <c r="F120" s="104"/>
      <c r="G120" s="104"/>
      <c r="H120" s="104"/>
      <c r="I120" s="104"/>
      <c r="J120" s="104"/>
      <c r="K120" s="104"/>
      <c r="L120" s="104"/>
      <c r="M120" s="104"/>
    </row>
    <row r="122" spans="1:14">
      <c r="A122" s="98"/>
      <c r="B122" s="98"/>
    </row>
    <row r="123" spans="1:14">
      <c r="A123" s="98"/>
      <c r="B123" s="98"/>
    </row>
    <row r="124" spans="1:14">
      <c r="A124" s="98"/>
      <c r="B124" s="98"/>
    </row>
    <row r="126" spans="1:14">
      <c r="A126" s="39"/>
    </row>
    <row r="127" spans="1:14">
      <c r="A127" s="89"/>
    </row>
    <row r="128" spans="1:14">
      <c r="A128" s="105"/>
      <c r="B128" s="106"/>
      <c r="C128" s="106"/>
      <c r="D128" s="106"/>
      <c r="E128" s="106"/>
      <c r="F128" s="106"/>
      <c r="G128" s="106"/>
      <c r="H128" s="106"/>
      <c r="I128" s="106"/>
      <c r="J128" s="106"/>
      <c r="K128" s="106"/>
      <c r="L128" s="106"/>
      <c r="M128" s="106"/>
      <c r="N128" s="106"/>
    </row>
    <row r="129" spans="1:14">
      <c r="A129" s="105"/>
      <c r="B129" s="106"/>
      <c r="C129" s="106"/>
      <c r="D129" s="106"/>
      <c r="E129" s="106"/>
      <c r="F129" s="106"/>
      <c r="G129" s="106"/>
      <c r="H129" s="106"/>
      <c r="I129" s="106"/>
      <c r="J129" s="106"/>
      <c r="K129" s="106"/>
      <c r="L129" s="106"/>
      <c r="M129" s="106"/>
      <c r="N129" s="106"/>
    </row>
    <row r="130" spans="1:14">
      <c r="A130" s="105"/>
      <c r="B130" s="106"/>
      <c r="C130" s="106"/>
      <c r="D130" s="106"/>
      <c r="E130" s="106"/>
      <c r="F130" s="106"/>
      <c r="G130" s="106"/>
      <c r="H130" s="106"/>
      <c r="I130" s="106"/>
      <c r="J130" s="106"/>
      <c r="K130" s="106"/>
      <c r="L130" s="106"/>
      <c r="M130" s="106"/>
      <c r="N130" s="106"/>
    </row>
    <row r="131" spans="1:14">
      <c r="A131" s="89"/>
    </row>
    <row r="132" spans="1:14">
      <c r="A132" s="105"/>
      <c r="B132" s="106"/>
      <c r="C132" s="106"/>
      <c r="D132" s="106"/>
      <c r="E132" s="106"/>
      <c r="F132" s="106"/>
      <c r="G132" s="106"/>
      <c r="H132" s="106"/>
      <c r="I132" s="106"/>
      <c r="J132" s="106"/>
      <c r="K132" s="106"/>
      <c r="L132" s="106"/>
      <c r="M132" s="106"/>
      <c r="N132" s="106"/>
    </row>
    <row r="133" spans="1:14">
      <c r="A133" s="105"/>
      <c r="B133" s="106"/>
      <c r="C133" s="106"/>
      <c r="D133" s="106"/>
      <c r="E133" s="106"/>
      <c r="F133" s="106"/>
      <c r="G133" s="106"/>
      <c r="H133" s="106"/>
      <c r="I133" s="106"/>
      <c r="J133" s="106"/>
      <c r="K133" s="106"/>
      <c r="L133" s="106"/>
      <c r="M133" s="106"/>
      <c r="N133" s="106"/>
    </row>
    <row r="134" spans="1:14">
      <c r="A134" s="105"/>
      <c r="B134" s="106"/>
      <c r="C134" s="106"/>
      <c r="D134" s="106"/>
      <c r="E134" s="106"/>
      <c r="F134" s="106"/>
      <c r="G134" s="106"/>
      <c r="H134" s="106"/>
      <c r="I134" s="106"/>
      <c r="J134" s="106"/>
      <c r="K134" s="106"/>
      <c r="L134" s="106"/>
      <c r="M134" s="106"/>
      <c r="N134" s="106"/>
    </row>
    <row r="137" spans="1:14">
      <c r="B137" s="107"/>
      <c r="C137" s="107"/>
      <c r="D137" s="107"/>
      <c r="E137" s="107"/>
      <c r="F137" s="107"/>
      <c r="G137" s="107"/>
      <c r="H137" s="107"/>
      <c r="I137" s="107"/>
      <c r="J137" s="107"/>
      <c r="K137" s="107"/>
      <c r="L137" s="107"/>
      <c r="M137" s="107"/>
      <c r="N137" s="107"/>
    </row>
  </sheetData>
  <pageMargins left="0.7" right="0.7" top="0.75" bottom="0.75" header="0.3" footer="0.3"/>
  <pageSetup scale="59" orientation="landscape" r:id="rId1"/>
  <headerFooter alignWithMargins="0"/>
  <rowBreaks count="1" manualBreakCount="1">
    <brk id="24" max="21" man="1"/>
  </rowBreaks>
  <legacyDrawing r:id="rId2"/>
</worksheet>
</file>

<file path=xl/worksheets/sheet6.xml><?xml version="1.0" encoding="utf-8"?>
<worksheet xmlns="http://schemas.openxmlformats.org/spreadsheetml/2006/main" xmlns:r="http://schemas.openxmlformats.org/officeDocument/2006/relationships">
  <sheetPr>
    <pageSetUpPr fitToPage="1"/>
  </sheetPr>
  <dimension ref="A1:V35"/>
  <sheetViews>
    <sheetView workbookViewId="0">
      <selection activeCell="L8" sqref="L8"/>
    </sheetView>
  </sheetViews>
  <sheetFormatPr defaultRowHeight="15"/>
  <cols>
    <col min="1" max="1" width="21.5703125" customWidth="1"/>
    <col min="2" max="2" width="11.5703125" bestFit="1" customWidth="1"/>
    <col min="3" max="3" width="11.5703125" customWidth="1"/>
    <col min="4" max="4" width="12.5703125" bestFit="1" customWidth="1"/>
    <col min="5" max="5" width="11.5703125" bestFit="1" customWidth="1"/>
    <col min="16" max="16" width="9.5703125" bestFit="1" customWidth="1"/>
  </cols>
  <sheetData>
    <row r="1" spans="1:22">
      <c r="A1" s="157" t="s">
        <v>526</v>
      </c>
    </row>
    <row r="2" spans="1:22">
      <c r="A2" s="157" t="s">
        <v>527</v>
      </c>
    </row>
    <row r="3" spans="1:22">
      <c r="A3" s="157" t="s">
        <v>528</v>
      </c>
    </row>
    <row r="4" spans="1:22">
      <c r="A4" s="332" t="s">
        <v>663</v>
      </c>
    </row>
    <row r="5" spans="1:22" ht="35.25" customHeight="1">
      <c r="A5" s="370" t="s">
        <v>534</v>
      </c>
      <c r="B5" s="370"/>
      <c r="C5" s="370"/>
      <c r="D5" s="370"/>
      <c r="E5" s="370"/>
      <c r="F5" s="370"/>
      <c r="G5" s="370"/>
      <c r="H5" s="370"/>
      <c r="I5" s="370"/>
      <c r="J5" s="370"/>
      <c r="K5" s="370"/>
    </row>
    <row r="7" spans="1:22">
      <c r="B7" s="158" t="s">
        <v>536</v>
      </c>
      <c r="C7" s="158" t="s">
        <v>537</v>
      </c>
    </row>
    <row r="8" spans="1:22">
      <c r="B8" s="164" t="s">
        <v>529</v>
      </c>
      <c r="C8" s="164" t="s">
        <v>529</v>
      </c>
      <c r="D8" s="164" t="s">
        <v>530</v>
      </c>
      <c r="E8" s="164" t="s">
        <v>531</v>
      </c>
    </row>
    <row r="9" spans="1:22">
      <c r="A9" s="159">
        <v>41275</v>
      </c>
      <c r="B9" s="161">
        <v>392.94</v>
      </c>
      <c r="C9" s="161">
        <v>27.6</v>
      </c>
      <c r="D9" s="162">
        <v>90.6</v>
      </c>
      <c r="E9" s="163">
        <f>(B9+C9)*D9</f>
        <v>38100.923999999999</v>
      </c>
    </row>
    <row r="10" spans="1:22">
      <c r="A10" s="159">
        <v>41306</v>
      </c>
      <c r="B10" s="161">
        <v>364.05</v>
      </c>
      <c r="C10" s="161">
        <v>27.24</v>
      </c>
      <c r="D10" s="162">
        <v>90.6</v>
      </c>
      <c r="E10" s="163">
        <f t="shared" ref="E10:E20" si="0">(B10+C10)*D10</f>
        <v>35450.873999999996</v>
      </c>
    </row>
    <row r="11" spans="1:22">
      <c r="A11" s="159">
        <v>41334</v>
      </c>
      <c r="B11" s="161">
        <v>394.07</v>
      </c>
      <c r="C11" s="161">
        <v>20.74</v>
      </c>
      <c r="D11" s="162">
        <v>95.36</v>
      </c>
      <c r="E11" s="163">
        <f t="shared" si="0"/>
        <v>39556.281600000002</v>
      </c>
    </row>
    <row r="12" spans="1:22">
      <c r="A12" s="159">
        <v>41365</v>
      </c>
      <c r="B12" s="161">
        <v>424.76</v>
      </c>
      <c r="C12" s="161">
        <v>23.27</v>
      </c>
      <c r="D12" s="162">
        <v>95.36</v>
      </c>
      <c r="E12" s="163">
        <f t="shared" si="0"/>
        <v>42724.140799999994</v>
      </c>
    </row>
    <row r="13" spans="1:22">
      <c r="A13" s="159">
        <v>41395</v>
      </c>
      <c r="B13" s="161">
        <v>424.44</v>
      </c>
      <c r="C13" s="161">
        <v>24.26</v>
      </c>
      <c r="D13" s="162">
        <v>95.36</v>
      </c>
      <c r="E13" s="163">
        <f t="shared" si="0"/>
        <v>42788.031999999999</v>
      </c>
    </row>
    <row r="14" spans="1:22">
      <c r="A14" s="159">
        <v>41426</v>
      </c>
      <c r="B14" s="161">
        <v>368.53</v>
      </c>
      <c r="C14" s="161">
        <v>23.234999999999999</v>
      </c>
      <c r="D14" s="162">
        <v>95.36</v>
      </c>
      <c r="E14" s="163">
        <f t="shared" si="0"/>
        <v>37358.710399999996</v>
      </c>
    </row>
    <row r="15" spans="1:22">
      <c r="A15" s="159">
        <v>41456</v>
      </c>
      <c r="B15" s="161">
        <v>400.57</v>
      </c>
      <c r="C15" s="161">
        <v>28.03</v>
      </c>
      <c r="D15" s="162">
        <v>95.36</v>
      </c>
      <c r="E15" s="163">
        <f t="shared" si="0"/>
        <v>40871.296000000002</v>
      </c>
    </row>
    <row r="16" spans="1:22">
      <c r="A16" s="159">
        <v>41487</v>
      </c>
      <c r="B16" s="161">
        <v>403.15</v>
      </c>
      <c r="C16" s="161">
        <v>35.69</v>
      </c>
      <c r="D16" s="162">
        <v>95.36</v>
      </c>
      <c r="E16" s="163">
        <f t="shared" si="0"/>
        <v>41847.782399999996</v>
      </c>
      <c r="J16" s="160"/>
      <c r="K16" s="160"/>
      <c r="L16" s="160"/>
      <c r="M16" s="160"/>
      <c r="N16" s="160"/>
      <c r="O16" s="160"/>
      <c r="P16" s="160"/>
      <c r="Q16" s="160"/>
      <c r="R16" s="160"/>
      <c r="S16" s="160"/>
      <c r="T16" s="160"/>
      <c r="U16" s="160"/>
      <c r="V16" s="160"/>
    </row>
    <row r="17" spans="1:16">
      <c r="A17" s="159">
        <v>41518</v>
      </c>
      <c r="B17" s="161">
        <v>392.9</v>
      </c>
      <c r="C17" s="161">
        <v>21.69</v>
      </c>
      <c r="D17" s="162">
        <v>95.36</v>
      </c>
      <c r="E17" s="163">
        <f t="shared" si="0"/>
        <v>39535.3024</v>
      </c>
    </row>
    <row r="18" spans="1:16">
      <c r="A18" s="159">
        <v>41548</v>
      </c>
      <c r="B18" s="161">
        <v>415.65</v>
      </c>
      <c r="C18" s="161">
        <v>16.32</v>
      </c>
      <c r="D18" s="162">
        <v>95.36</v>
      </c>
      <c r="E18" s="163">
        <f t="shared" si="0"/>
        <v>41192.659199999995</v>
      </c>
    </row>
    <row r="19" spans="1:16">
      <c r="A19" s="159">
        <v>41579</v>
      </c>
      <c r="B19" s="161">
        <v>451.17</v>
      </c>
      <c r="C19" s="161">
        <v>24.57</v>
      </c>
      <c r="D19" s="162">
        <v>95.36</v>
      </c>
      <c r="E19" s="163">
        <f t="shared" si="0"/>
        <v>45366.566400000003</v>
      </c>
    </row>
    <row r="20" spans="1:16">
      <c r="A20" s="159">
        <v>41609</v>
      </c>
      <c r="B20" s="161">
        <v>418.16</v>
      </c>
      <c r="C20" s="161">
        <v>23.4</v>
      </c>
      <c r="D20" s="162">
        <v>95.36</v>
      </c>
      <c r="E20" s="163">
        <f t="shared" si="0"/>
        <v>42107.161599999999</v>
      </c>
    </row>
    <row r="21" spans="1:16">
      <c r="B21" s="161">
        <f>SUM(B9:B20)</f>
        <v>4850.3900000000003</v>
      </c>
      <c r="C21" s="161">
        <f>SUM(C9:C20)</f>
        <v>296.04499999999996</v>
      </c>
      <c r="E21" s="161">
        <f>SUM(E9:E20)</f>
        <v>486899.73079999996</v>
      </c>
    </row>
    <row r="23" spans="1:16">
      <c r="A23" s="166" t="s">
        <v>424</v>
      </c>
      <c r="B23" s="165">
        <f>B21*2000</f>
        <v>9700780</v>
      </c>
      <c r="C23" s="165"/>
    </row>
    <row r="25" spans="1:16">
      <c r="D25" s="160"/>
      <c r="E25" s="160"/>
      <c r="F25" s="160"/>
      <c r="G25" s="160"/>
      <c r="H25" s="160"/>
      <c r="I25" s="160"/>
      <c r="J25" s="160"/>
      <c r="K25" s="160"/>
      <c r="L25" s="160"/>
      <c r="M25" s="160"/>
      <c r="N25" s="160"/>
      <c r="O25" s="160"/>
      <c r="P25" s="160"/>
    </row>
    <row r="26" spans="1:16">
      <c r="A26" s="166" t="s">
        <v>661</v>
      </c>
      <c r="B26">
        <v>95.36</v>
      </c>
    </row>
    <row r="27" spans="1:16">
      <c r="A27" s="166" t="s">
        <v>662</v>
      </c>
      <c r="B27" s="167">
        <v>97.42</v>
      </c>
      <c r="C27" s="184"/>
    </row>
    <row r="28" spans="1:16">
      <c r="A28" s="168" t="s">
        <v>429</v>
      </c>
      <c r="B28" s="157">
        <f>B27-B26</f>
        <v>2.0600000000000023</v>
      </c>
      <c r="C28" s="157"/>
    </row>
    <row r="29" spans="1:16">
      <c r="A29" s="168" t="s">
        <v>532</v>
      </c>
      <c r="B29" s="157">
        <f>B28/2000</f>
        <v>1.0300000000000012E-3</v>
      </c>
      <c r="C29" s="157"/>
    </row>
    <row r="31" spans="1:16">
      <c r="A31" s="166" t="s">
        <v>441</v>
      </c>
      <c r="B31" s="169">
        <f>B23*B29</f>
        <v>9991.8034000000116</v>
      </c>
      <c r="C31" s="169"/>
    </row>
    <row r="32" spans="1:16">
      <c r="A32" s="166" t="s">
        <v>533</v>
      </c>
      <c r="B32" s="169">
        <f>B31/'PCR Disposal'!U29</f>
        <v>10188.180580692868</v>
      </c>
      <c r="C32" s="169"/>
    </row>
    <row r="35" spans="1:2">
      <c r="A35" s="168" t="s">
        <v>433</v>
      </c>
      <c r="B35" s="185">
        <f>C21*B28</f>
        <v>609.8527000000006</v>
      </c>
    </row>
  </sheetData>
  <mergeCells count="1">
    <mergeCell ref="A5:K5"/>
  </mergeCells>
  <pageMargins left="0.7" right="0.7" top="0.75" bottom="0.75" header="0.3" footer="0.3"/>
  <pageSetup scale="9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7342816608D8F4883D059E0AD3F8350" ma:contentTypeVersion="104" ma:contentTypeDescription="" ma:contentTypeScope="" ma:versionID="54e7227beda36fea852032bee5403c3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2016-01-05T08:00:00+00:00</OpenedDate>
    <Date1 xmlns="dc463f71-b30c-4ab2-9473-d307f9d35888">2016-01-05T08:00:00+00:00</Date1>
    <IsDocumentOrder xmlns="dc463f71-b30c-4ab2-9473-d307f9d35888" xsi:nil="true"/>
    <IsHighlyConfidential xmlns="dc463f71-b30c-4ab2-9473-d307f9d35888">false</IsHighlyConfidential>
    <CaseCompanyNames xmlns="dc463f71-b30c-4ab2-9473-d307f9d35888">HAROLD LEMAY ENTERPRISES, INC.</CaseCompanyNames>
    <DocketNumber xmlns="dc463f71-b30c-4ab2-9473-d307f9d35888">160014</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EAEF5B98-D153-4B0A-B557-EAF0E234C5A7}"/>
</file>

<file path=customXml/itemProps2.xml><?xml version="1.0" encoding="utf-8"?>
<ds:datastoreItem xmlns:ds="http://schemas.openxmlformats.org/officeDocument/2006/customXml" ds:itemID="{26072B34-9B56-45F5-B018-63DFB87C8157}"/>
</file>

<file path=customXml/itemProps3.xml><?xml version="1.0" encoding="utf-8"?>
<ds:datastoreItem xmlns:ds="http://schemas.openxmlformats.org/officeDocument/2006/customXml" ds:itemID="{DF83CD00-FF23-4765-BCB0-E7BEEDE1E837}"/>
</file>

<file path=customXml/itemProps4.xml><?xml version="1.0" encoding="utf-8"?>
<ds:datastoreItem xmlns:ds="http://schemas.openxmlformats.org/officeDocument/2006/customXml" ds:itemID="{42BB165F-BFDB-4BBB-A6A3-5A7C1D216D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References</vt:lpstr>
      <vt:lpstr>Staff Calcs </vt:lpstr>
      <vt:lpstr>Rate Sheet</vt:lpstr>
      <vt:lpstr>2180 (Reg.) - Price Out </vt:lpstr>
      <vt:lpstr>PCR Disposal</vt:lpstr>
      <vt:lpstr>EQR Disposal</vt:lpstr>
      <vt:lpstr>'2180 (Reg.) - Price Out '!Print_Area</vt:lpstr>
      <vt:lpstr>'PCR Disposal'!Print_Area</vt:lpstr>
      <vt:lpstr>'2180 (Reg.) - Price Out '!Print_Titles</vt:lpstr>
    </vt:vector>
  </TitlesOfParts>
  <Company>Waste Connections,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WCNX</dc:creator>
  <cp:lastModifiedBy>irmgardw</cp:lastModifiedBy>
  <cp:lastPrinted>2016-01-05T17:29:51Z</cp:lastPrinted>
  <dcterms:created xsi:type="dcterms:W3CDTF">2013-12-27T21:52:10Z</dcterms:created>
  <dcterms:modified xsi:type="dcterms:W3CDTF">2016-01-05T19:43:55Z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0x0101006E56B4D1795A2E4DB2F0B01679ED314A0037342816608D8F4883D059E0AD3F8350</vt:lpwstr>
  </property>
  <property fmtid="{D5CDD505-2E9C-101B-9397-08002B2CF9AE}" pid="3" name="_docset_NoMedatataSyncRequired">
    <vt:lpwstr>False</vt:lpwstr>
  </property>
</Properties>
</file>