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250" windowHeight="7005"/>
  </bookViews>
  <sheets>
    <sheet name="Rate Adjustment Summary" sheetId="1" r:id="rId1"/>
    <sheet name="4197 Tonnage" sheetId="2" r:id="rId2"/>
    <sheet name="Wage Summary" sheetId="5" r:id="rId3"/>
    <sheet name="Wage Details" sheetId="4" r:id="rId4"/>
    <sheet name="MRF Tonnage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H18" i="1" l="1"/>
  <c r="E15" i="1"/>
  <c r="E14" i="1"/>
  <c r="B24" i="1" l="1"/>
  <c r="H22" i="1" l="1"/>
  <c r="G8" i="5"/>
  <c r="G7" i="5"/>
  <c r="F15" i="1"/>
  <c r="G14" i="1"/>
  <c r="B11" i="1"/>
  <c r="D10" i="1"/>
  <c r="D11" i="1" s="1"/>
  <c r="C10" i="1"/>
  <c r="B10" i="1"/>
  <c r="D9" i="1"/>
  <c r="C9" i="1"/>
  <c r="C11" i="1" s="1"/>
  <c r="B9" i="1"/>
  <c r="D6" i="1"/>
  <c r="C6" i="1"/>
  <c r="B6" i="1"/>
  <c r="D5" i="1"/>
  <c r="C5" i="1"/>
  <c r="B5" i="1"/>
  <c r="F14" i="1" s="1"/>
  <c r="H14" i="1" l="1"/>
  <c r="G15" i="1"/>
  <c r="H15" i="1" s="1"/>
  <c r="Q110" i="2"/>
  <c r="P110" i="2"/>
  <c r="O110" i="2"/>
  <c r="N110" i="2"/>
  <c r="M110" i="2"/>
  <c r="L110" i="2"/>
  <c r="K110" i="2"/>
  <c r="J110" i="2"/>
  <c r="I110" i="2"/>
  <c r="H110" i="2"/>
  <c r="G110" i="2"/>
  <c r="F110" i="2"/>
  <c r="R110" i="2" s="1"/>
  <c r="R104" i="2"/>
  <c r="F103" i="2"/>
  <c r="R97" i="2"/>
  <c r="R98" i="2" s="1"/>
  <c r="Q94" i="2"/>
  <c r="P94" i="2"/>
  <c r="O94" i="2"/>
  <c r="N94" i="2"/>
  <c r="M94" i="2"/>
  <c r="L94" i="2"/>
  <c r="K94" i="2"/>
  <c r="J94" i="2"/>
  <c r="I94" i="2"/>
  <c r="H94" i="2"/>
  <c r="G94" i="2"/>
  <c r="F94" i="2"/>
  <c r="R94" i="2" s="1"/>
  <c r="Q93" i="2"/>
  <c r="P93" i="2"/>
  <c r="O93" i="2"/>
  <c r="N93" i="2"/>
  <c r="M93" i="2"/>
  <c r="L93" i="2"/>
  <c r="K93" i="2"/>
  <c r="J93" i="2"/>
  <c r="I93" i="2"/>
  <c r="H93" i="2"/>
  <c r="G93" i="2"/>
  <c r="F93" i="2"/>
  <c r="R93" i="2" s="1"/>
  <c r="F90" i="2"/>
  <c r="F89" i="2"/>
  <c r="R84" i="2"/>
  <c r="Q83" i="2"/>
  <c r="P83" i="2"/>
  <c r="O83" i="2"/>
  <c r="N83" i="2"/>
  <c r="M83" i="2"/>
  <c r="L83" i="2"/>
  <c r="K83" i="2"/>
  <c r="J83" i="2"/>
  <c r="I83" i="2"/>
  <c r="H83" i="2"/>
  <c r="G83" i="2"/>
  <c r="F83" i="2"/>
  <c r="R83" i="2" s="1"/>
  <c r="R82" i="2"/>
  <c r="G81" i="2"/>
  <c r="F81" i="2"/>
  <c r="H80" i="2"/>
  <c r="G80" i="2"/>
  <c r="N71" i="2"/>
  <c r="N72" i="2" s="1"/>
  <c r="J71" i="2"/>
  <c r="J72" i="2" s="1"/>
  <c r="F71" i="2"/>
  <c r="F72" i="2" s="1"/>
  <c r="Q66" i="2"/>
  <c r="N65" i="2"/>
  <c r="H61" i="2"/>
  <c r="O55" i="2"/>
  <c r="F51" i="2"/>
  <c r="P49" i="2"/>
  <c r="P147" i="2" s="1"/>
  <c r="Q49" i="2"/>
  <c r="Q147" i="2" s="1"/>
  <c r="N49" i="2"/>
  <c r="N147" i="2" s="1"/>
  <c r="M49" i="2"/>
  <c r="M147" i="2" s="1"/>
  <c r="J49" i="2"/>
  <c r="J147" i="2" s="1"/>
  <c r="I49" i="2"/>
  <c r="I147" i="2" s="1"/>
  <c r="F49" i="2"/>
  <c r="F147" i="2" s="1"/>
  <c r="F146" i="2"/>
  <c r="Q55" i="2"/>
  <c r="N55" i="2"/>
  <c r="M55" i="2"/>
  <c r="K55" i="2"/>
  <c r="J55" i="2"/>
  <c r="I55" i="2"/>
  <c r="G55" i="2"/>
  <c r="F55" i="2"/>
  <c r="Q43" i="2"/>
  <c r="Q140" i="2" s="1"/>
  <c r="N43" i="2"/>
  <c r="N140" i="2" s="1"/>
  <c r="M43" i="2"/>
  <c r="M140" i="2" s="1"/>
  <c r="J43" i="2"/>
  <c r="J140" i="2" s="1"/>
  <c r="G43" i="2"/>
  <c r="G140" i="2" s="1"/>
  <c r="F43" i="2"/>
  <c r="F140" i="2" s="1"/>
  <c r="P139" i="2"/>
  <c r="P160" i="2" s="1"/>
  <c r="O43" i="2"/>
  <c r="O140" i="2" s="1"/>
  <c r="N139" i="2"/>
  <c r="L139" i="2"/>
  <c r="J139" i="2"/>
  <c r="H139" i="2"/>
  <c r="F139" i="2"/>
  <c r="N45" i="2"/>
  <c r="N46" i="2" s="1"/>
  <c r="F45" i="2"/>
  <c r="F46" i="2" s="1"/>
  <c r="Q39" i="2"/>
  <c r="Q135" i="2" s="1"/>
  <c r="P39" i="2"/>
  <c r="P135" i="2" s="1"/>
  <c r="M39" i="2"/>
  <c r="M135" i="2" s="1"/>
  <c r="L39" i="2"/>
  <c r="L135" i="2" s="1"/>
  <c r="I39" i="2"/>
  <c r="I135" i="2" s="1"/>
  <c r="H39" i="2"/>
  <c r="H135" i="2" s="1"/>
  <c r="Q134" i="2"/>
  <c r="M134" i="2"/>
  <c r="I134" i="2"/>
  <c r="Q45" i="2"/>
  <c r="Q46" i="2" s="1"/>
  <c r="P35" i="2"/>
  <c r="M45" i="2"/>
  <c r="M46" i="2" s="1"/>
  <c r="L35" i="2"/>
  <c r="J45" i="2"/>
  <c r="J46" i="2" s="1"/>
  <c r="I45" i="2"/>
  <c r="I46" i="2" s="1"/>
  <c r="H35" i="2"/>
  <c r="G45" i="2"/>
  <c r="G46" i="2" s="1"/>
  <c r="O35" i="2"/>
  <c r="N35" i="2"/>
  <c r="K35" i="2"/>
  <c r="J35" i="2"/>
  <c r="G35" i="2"/>
  <c r="F35" i="2"/>
  <c r="F130" i="2" s="1"/>
  <c r="M65" i="2"/>
  <c r="F129" i="2"/>
  <c r="P28" i="2"/>
  <c r="P124" i="2" s="1"/>
  <c r="N54" i="2"/>
  <c r="L28" i="2"/>
  <c r="L124" i="2" s="1"/>
  <c r="J54" i="2"/>
  <c r="H54" i="2"/>
  <c r="F54" i="2"/>
  <c r="Q28" i="2"/>
  <c r="Q124" i="2" s="1"/>
  <c r="O28" i="2"/>
  <c r="O124" i="2" s="1"/>
  <c r="M28" i="2"/>
  <c r="M124" i="2" s="1"/>
  <c r="K28" i="2"/>
  <c r="K124" i="2" s="1"/>
  <c r="I28" i="2"/>
  <c r="I124" i="2" s="1"/>
  <c r="G28" i="2"/>
  <c r="G124" i="2" s="1"/>
  <c r="P123" i="2"/>
  <c r="P154" i="2" s="1"/>
  <c r="L123" i="2"/>
  <c r="L154" i="2" s="1"/>
  <c r="J61" i="2"/>
  <c r="H123" i="2"/>
  <c r="H154" i="2" s="1"/>
  <c r="Q30" i="2"/>
  <c r="Q31" i="2" s="1"/>
  <c r="P30" i="2"/>
  <c r="P31" i="2" s="1"/>
  <c r="O24" i="2"/>
  <c r="N30" i="2"/>
  <c r="N31" i="2" s="1"/>
  <c r="M30" i="2"/>
  <c r="M31" i="2" s="1"/>
  <c r="L30" i="2"/>
  <c r="L31" i="2" s="1"/>
  <c r="K24" i="2"/>
  <c r="J30" i="2"/>
  <c r="J31" i="2" s="1"/>
  <c r="I30" i="2"/>
  <c r="I31" i="2" s="1"/>
  <c r="H30" i="2"/>
  <c r="H31" i="2" s="1"/>
  <c r="G24" i="2"/>
  <c r="G122" i="2" s="1"/>
  <c r="F30" i="2"/>
  <c r="F31" i="2" s="1"/>
  <c r="P24" i="2"/>
  <c r="N24" i="2"/>
  <c r="L24" i="2"/>
  <c r="J24" i="2"/>
  <c r="H24" i="2"/>
  <c r="F24" i="2"/>
  <c r="F122" i="2" s="1"/>
  <c r="I60" i="2"/>
  <c r="P17" i="2"/>
  <c r="L17" i="2"/>
  <c r="H17" i="2"/>
  <c r="N51" i="2"/>
  <c r="J51" i="2"/>
  <c r="R16" i="2"/>
  <c r="R13" i="2"/>
  <c r="Q17" i="2"/>
  <c r="O17" i="2"/>
  <c r="M17" i="2"/>
  <c r="K17" i="2"/>
  <c r="I17" i="2"/>
  <c r="G17" i="2"/>
  <c r="R12" i="2"/>
  <c r="G7" i="2"/>
  <c r="H7" i="2" s="1"/>
  <c r="I7" i="2" s="1"/>
  <c r="J7" i="2" s="1"/>
  <c r="K7" i="2" s="1"/>
  <c r="L7" i="2" s="1"/>
  <c r="M7" i="2" s="1"/>
  <c r="N7" i="2" s="1"/>
  <c r="O7" i="2" s="1"/>
  <c r="P7" i="2" s="1"/>
  <c r="Q7" i="2" s="1"/>
  <c r="A3" i="2" s="1"/>
  <c r="A1" i="2"/>
  <c r="H16" i="1" l="1"/>
  <c r="H20" i="1" s="1"/>
  <c r="H24" i="1" s="1"/>
  <c r="H26" i="1" s="1"/>
  <c r="H28" i="1" s="1"/>
  <c r="H32" i="1" s="1"/>
  <c r="R14" i="2"/>
  <c r="Q159" i="2"/>
  <c r="Q136" i="2"/>
  <c r="R15" i="2"/>
  <c r="R17" i="2" s="1"/>
  <c r="F123" i="2"/>
  <c r="F61" i="2"/>
  <c r="R27" i="2"/>
  <c r="R61" i="2" s="1"/>
  <c r="G30" i="2"/>
  <c r="G31" i="2" s="1"/>
  <c r="K30" i="2"/>
  <c r="K31" i="2" s="1"/>
  <c r="K134" i="2"/>
  <c r="K66" i="2"/>
  <c r="O134" i="2"/>
  <c r="O66" i="2"/>
  <c r="H160" i="2"/>
  <c r="H43" i="2"/>
  <c r="H140" i="2" s="1"/>
  <c r="H141" i="2" s="1"/>
  <c r="H55" i="2"/>
  <c r="L43" i="2"/>
  <c r="L140" i="2" s="1"/>
  <c r="L141" i="2" s="1"/>
  <c r="L55" i="2"/>
  <c r="P43" i="2"/>
  <c r="P140" i="2" s="1"/>
  <c r="P141" i="2" s="1"/>
  <c r="P55" i="2"/>
  <c r="H45" i="2"/>
  <c r="H46" i="2" s="1"/>
  <c r="O45" i="2"/>
  <c r="O46" i="2" s="1"/>
  <c r="L54" i="2"/>
  <c r="F121" i="2"/>
  <c r="F60" i="2"/>
  <c r="F53" i="2"/>
  <c r="F56" i="2" s="1"/>
  <c r="J60" i="2"/>
  <c r="J62" i="2" s="1"/>
  <c r="J53" i="2"/>
  <c r="J56" i="2" s="1"/>
  <c r="N60" i="2"/>
  <c r="N53" i="2"/>
  <c r="N56" i="2" s="1"/>
  <c r="R23" i="2"/>
  <c r="I24" i="2"/>
  <c r="I53" i="2" s="1"/>
  <c r="M24" i="2"/>
  <c r="M53" i="2" s="1"/>
  <c r="Q24" i="2"/>
  <c r="G123" i="2"/>
  <c r="G154" i="2" s="1"/>
  <c r="G61" i="2"/>
  <c r="K123" i="2"/>
  <c r="K154" i="2" s="1"/>
  <c r="K61" i="2"/>
  <c r="O61" i="2"/>
  <c r="O123" i="2"/>
  <c r="O154" i="2" s="1"/>
  <c r="F28" i="2"/>
  <c r="J28" i="2"/>
  <c r="J124" i="2" s="1"/>
  <c r="N28" i="2"/>
  <c r="N124" i="2" s="1"/>
  <c r="I54" i="2"/>
  <c r="M54" i="2"/>
  <c r="Q54" i="2"/>
  <c r="F158" i="2"/>
  <c r="F131" i="2"/>
  <c r="R34" i="2"/>
  <c r="H134" i="2"/>
  <c r="H66" i="2"/>
  <c r="L134" i="2"/>
  <c r="L66" i="2"/>
  <c r="P134" i="2"/>
  <c r="P66" i="2"/>
  <c r="F39" i="2"/>
  <c r="J39" i="2"/>
  <c r="J135" i="2" s="1"/>
  <c r="N39" i="2"/>
  <c r="N135" i="2" s="1"/>
  <c r="I139" i="2"/>
  <c r="I67" i="2"/>
  <c r="M139" i="2"/>
  <c r="M67" i="2"/>
  <c r="Q139" i="2"/>
  <c r="Q67" i="2"/>
  <c r="I43" i="2"/>
  <c r="I140" i="2" s="1"/>
  <c r="G49" i="2"/>
  <c r="G147" i="2" s="1"/>
  <c r="G51" i="2"/>
  <c r="K49" i="2"/>
  <c r="K147" i="2" s="1"/>
  <c r="K51" i="2"/>
  <c r="O49" i="2"/>
  <c r="O147" i="2" s="1"/>
  <c r="O51" i="2"/>
  <c r="P54" i="2"/>
  <c r="L61" i="2"/>
  <c r="H67" i="2"/>
  <c r="N123" i="2"/>
  <c r="N154" i="2" s="1"/>
  <c r="N61" i="2"/>
  <c r="F17" i="2"/>
  <c r="J17" i="2"/>
  <c r="N17" i="2"/>
  <c r="G121" i="2"/>
  <c r="G60" i="2"/>
  <c r="G53" i="2"/>
  <c r="K60" i="2"/>
  <c r="O60" i="2"/>
  <c r="O62" i="2" s="1"/>
  <c r="R29" i="2"/>
  <c r="G129" i="2"/>
  <c r="G65" i="2"/>
  <c r="K65" i="2"/>
  <c r="O65" i="2"/>
  <c r="I35" i="2"/>
  <c r="M35" i="2"/>
  <c r="R35" i="2" s="1"/>
  <c r="Q35" i="2"/>
  <c r="I159" i="2"/>
  <c r="I136" i="2"/>
  <c r="M159" i="2"/>
  <c r="M136" i="2"/>
  <c r="G39" i="2"/>
  <c r="G135" i="2" s="1"/>
  <c r="K39" i="2"/>
  <c r="K135" i="2" s="1"/>
  <c r="O39" i="2"/>
  <c r="O135" i="2" s="1"/>
  <c r="J160" i="2"/>
  <c r="J141" i="2"/>
  <c r="K45" i="2"/>
  <c r="K46" i="2" s="1"/>
  <c r="G71" i="2"/>
  <c r="G72" i="2" s="1"/>
  <c r="K71" i="2"/>
  <c r="K72" i="2" s="1"/>
  <c r="O71" i="2"/>
  <c r="O72" i="2" s="1"/>
  <c r="H49" i="2"/>
  <c r="H147" i="2" s="1"/>
  <c r="L49" i="2"/>
  <c r="L147" i="2" s="1"/>
  <c r="M60" i="2"/>
  <c r="P61" i="2"/>
  <c r="F65" i="2"/>
  <c r="I66" i="2"/>
  <c r="L67" i="2"/>
  <c r="H90" i="2"/>
  <c r="H130" i="2" s="1"/>
  <c r="H89" i="2"/>
  <c r="H129" i="2" s="1"/>
  <c r="H81" i="2"/>
  <c r="H103" i="2"/>
  <c r="I80" i="2"/>
  <c r="I121" i="2" s="1"/>
  <c r="J123" i="2"/>
  <c r="J154" i="2" s="1"/>
  <c r="H122" i="2"/>
  <c r="O30" i="2"/>
  <c r="O31" i="2" s="1"/>
  <c r="I65" i="2"/>
  <c r="Q65" i="2"/>
  <c r="G134" i="2"/>
  <c r="G66" i="2"/>
  <c r="L160" i="2"/>
  <c r="H121" i="2"/>
  <c r="H60" i="2"/>
  <c r="H62" i="2" s="1"/>
  <c r="H53" i="2"/>
  <c r="H56" i="2" s="1"/>
  <c r="H18" i="2" s="1"/>
  <c r="H19" i="2" s="1"/>
  <c r="L60" i="2"/>
  <c r="P60" i="2"/>
  <c r="P53" i="2"/>
  <c r="P56" i="2" s="1"/>
  <c r="P18" i="2" s="1"/>
  <c r="P19" i="2" s="1"/>
  <c r="R25" i="2"/>
  <c r="I123" i="2"/>
  <c r="I154" i="2" s="1"/>
  <c r="I61" i="2"/>
  <c r="I62" i="2" s="1"/>
  <c r="M123" i="2"/>
  <c r="M154" i="2" s="1"/>
  <c r="M61" i="2"/>
  <c r="Q123" i="2"/>
  <c r="Q154" i="2" s="1"/>
  <c r="Q61" i="2"/>
  <c r="H28" i="2"/>
  <c r="H124" i="2" s="1"/>
  <c r="G54" i="2"/>
  <c r="K54" i="2"/>
  <c r="O54" i="2"/>
  <c r="H65" i="2"/>
  <c r="H68" i="2" s="1"/>
  <c r="L65" i="2"/>
  <c r="P65" i="2"/>
  <c r="L45" i="2"/>
  <c r="L46" i="2" s="1"/>
  <c r="P45" i="2"/>
  <c r="P46" i="2" s="1"/>
  <c r="F134" i="2"/>
  <c r="F66" i="2"/>
  <c r="J134" i="2"/>
  <c r="J66" i="2"/>
  <c r="N134" i="2"/>
  <c r="N66" i="2"/>
  <c r="R38" i="2"/>
  <c r="G139" i="2"/>
  <c r="G67" i="2"/>
  <c r="K139" i="2"/>
  <c r="K67" i="2"/>
  <c r="O139" i="2"/>
  <c r="O67" i="2"/>
  <c r="K43" i="2"/>
  <c r="K140" i="2" s="1"/>
  <c r="H146" i="2"/>
  <c r="H71" i="2"/>
  <c r="H72" i="2" s="1"/>
  <c r="L71" i="2"/>
  <c r="L72" i="2" s="1"/>
  <c r="I51" i="2"/>
  <c r="M51" i="2"/>
  <c r="Q51" i="2"/>
  <c r="Q60" i="2"/>
  <c r="J65" i="2"/>
  <c r="M66" i="2"/>
  <c r="P67" i="2"/>
  <c r="R49" i="2"/>
  <c r="H51" i="2"/>
  <c r="L51" i="2"/>
  <c r="P51" i="2"/>
  <c r="F67" i="2"/>
  <c r="J67" i="2"/>
  <c r="N67" i="2"/>
  <c r="P71" i="2"/>
  <c r="P72" i="2" s="1"/>
  <c r="F160" i="2"/>
  <c r="F141" i="2"/>
  <c r="N160" i="2"/>
  <c r="N141" i="2"/>
  <c r="R42" i="2"/>
  <c r="F164" i="2"/>
  <c r="F165" i="2" s="1"/>
  <c r="F148" i="2"/>
  <c r="F115" i="2" s="1"/>
  <c r="R48" i="2"/>
  <c r="I71" i="2"/>
  <c r="I72" i="2" s="1"/>
  <c r="M71" i="2"/>
  <c r="M72" i="2" s="1"/>
  <c r="Q71" i="2"/>
  <c r="Q72" i="2" s="1"/>
  <c r="G103" i="2"/>
  <c r="G146" i="2" s="1"/>
  <c r="G90" i="2"/>
  <c r="G89" i="2"/>
  <c r="H37" i="1" l="1"/>
  <c r="H36" i="1"/>
  <c r="R147" i="2"/>
  <c r="R140" i="2"/>
  <c r="N68" i="2"/>
  <c r="F68" i="2"/>
  <c r="L68" i="2"/>
  <c r="M68" i="2"/>
  <c r="R30" i="2"/>
  <c r="R31" i="2" s="1"/>
  <c r="M56" i="2"/>
  <c r="M18" i="2" s="1"/>
  <c r="M19" i="2" s="1"/>
  <c r="I56" i="2"/>
  <c r="I18" i="2" s="1"/>
  <c r="I19" i="2" s="1"/>
  <c r="P62" i="2"/>
  <c r="K62" i="2"/>
  <c r="J18" i="2"/>
  <c r="J19" i="2" s="1"/>
  <c r="R24" i="2"/>
  <c r="G164" i="2"/>
  <c r="G165" i="2" s="1"/>
  <c r="G148" i="2"/>
  <c r="G115" i="2" s="1"/>
  <c r="H158" i="2"/>
  <c r="H131" i="2"/>
  <c r="I153" i="2"/>
  <c r="I155" i="2" s="1"/>
  <c r="R50" i="2"/>
  <c r="R51" i="2" s="1"/>
  <c r="R71" i="2"/>
  <c r="R72" i="2" s="1"/>
  <c r="J68" i="2"/>
  <c r="J74" i="2" s="1"/>
  <c r="H164" i="2"/>
  <c r="H165" i="2" s="1"/>
  <c r="H148" i="2"/>
  <c r="H115" i="2" s="1"/>
  <c r="O141" i="2"/>
  <c r="O160" i="2"/>
  <c r="G141" i="2"/>
  <c r="G160" i="2"/>
  <c r="N159" i="2"/>
  <c r="N136" i="2"/>
  <c r="F159" i="2"/>
  <c r="R134" i="2"/>
  <c r="P68" i="2"/>
  <c r="P74" i="2" s="1"/>
  <c r="L53" i="2"/>
  <c r="L56" i="2" s="1"/>
  <c r="L18" i="2" s="1"/>
  <c r="L19" i="2" s="1"/>
  <c r="H74" i="2"/>
  <c r="M62" i="2"/>
  <c r="M74" i="2" s="1"/>
  <c r="I130" i="2"/>
  <c r="O53" i="2"/>
  <c r="O56" i="2" s="1"/>
  <c r="O18" i="2" s="1"/>
  <c r="O19" i="2" s="1"/>
  <c r="G153" i="2"/>
  <c r="G155" i="2" s="1"/>
  <c r="G125" i="2"/>
  <c r="G113" i="2" s="1"/>
  <c r="F135" i="2"/>
  <c r="R135" i="2" s="1"/>
  <c r="R39" i="2"/>
  <c r="R40" i="2" s="1"/>
  <c r="L159" i="2"/>
  <c r="L136" i="2"/>
  <c r="F153" i="2"/>
  <c r="R139" i="2"/>
  <c r="Q62" i="2"/>
  <c r="L62" i="2"/>
  <c r="H125" i="2"/>
  <c r="H113" i="2" s="1"/>
  <c r="H153" i="2"/>
  <c r="H155" i="2" s="1"/>
  <c r="G159" i="2"/>
  <c r="G136" i="2"/>
  <c r="I68" i="2"/>
  <c r="I74" i="2" s="1"/>
  <c r="Q53" i="2"/>
  <c r="Q56" i="2" s="1"/>
  <c r="Q18" i="2" s="1"/>
  <c r="Q19" i="2" s="1"/>
  <c r="O68" i="2"/>
  <c r="O74" i="2" s="1"/>
  <c r="G68" i="2"/>
  <c r="N18" i="2"/>
  <c r="N19" i="2" s="1"/>
  <c r="Q160" i="2"/>
  <c r="Q141" i="2"/>
  <c r="I160" i="2"/>
  <c r="I141" i="2"/>
  <c r="F124" i="2"/>
  <c r="R124" i="2" s="1"/>
  <c r="R28" i="2"/>
  <c r="N62" i="2"/>
  <c r="N74" i="2" s="1"/>
  <c r="R43" i="2"/>
  <c r="O159" i="2"/>
  <c r="O136" i="2"/>
  <c r="G130" i="2"/>
  <c r="R44" i="2"/>
  <c r="R55" i="2" s="1"/>
  <c r="R67" i="2"/>
  <c r="K160" i="2"/>
  <c r="K141" i="2"/>
  <c r="R66" i="2"/>
  <c r="J159" i="2"/>
  <c r="J136" i="2"/>
  <c r="G158" i="2"/>
  <c r="G56" i="2"/>
  <c r="G18" i="2" s="1"/>
  <c r="G19" i="2" s="1"/>
  <c r="P159" i="2"/>
  <c r="P136" i="2"/>
  <c r="H159" i="2"/>
  <c r="H136" i="2"/>
  <c r="S45" i="2"/>
  <c r="R65" i="2"/>
  <c r="R68" i="2" s="1"/>
  <c r="R36" i="2"/>
  <c r="Q68" i="2"/>
  <c r="I89" i="2"/>
  <c r="I129" i="2" s="1"/>
  <c r="I81" i="2"/>
  <c r="I103" i="2"/>
  <c r="I90" i="2"/>
  <c r="J80" i="2"/>
  <c r="K68" i="2"/>
  <c r="K74" i="2" s="1"/>
  <c r="K53" i="2"/>
  <c r="K56" i="2" s="1"/>
  <c r="K18" i="2" s="1"/>
  <c r="K19" i="2" s="1"/>
  <c r="G62" i="2"/>
  <c r="G74" i="2" s="1"/>
  <c r="F18" i="2"/>
  <c r="M160" i="2"/>
  <c r="M141" i="2"/>
  <c r="F161" i="2"/>
  <c r="R60" i="2"/>
  <c r="R62" i="2" s="1"/>
  <c r="F62" i="2"/>
  <c r="F74" i="2" s="1"/>
  <c r="K159" i="2"/>
  <c r="K136" i="2"/>
  <c r="F154" i="2"/>
  <c r="R123" i="2"/>
  <c r="R154" i="2" s="1"/>
  <c r="R41" i="2" l="1"/>
  <c r="S38" i="2"/>
  <c r="L74" i="2"/>
  <c r="S42" i="2"/>
  <c r="Q74" i="2"/>
  <c r="H161" i="2"/>
  <c r="H167" i="2" s="1"/>
  <c r="F125" i="2"/>
  <c r="F113" i="2" s="1"/>
  <c r="F155" i="2"/>
  <c r="F167" i="2" s="1"/>
  <c r="J103" i="2"/>
  <c r="J146" i="2" s="1"/>
  <c r="J90" i="2"/>
  <c r="J130" i="2" s="1"/>
  <c r="J81" i="2"/>
  <c r="J122" i="2" s="1"/>
  <c r="K80" i="2"/>
  <c r="J89" i="2"/>
  <c r="J129" i="2" s="1"/>
  <c r="J121" i="2"/>
  <c r="R37" i="2"/>
  <c r="R45" i="2"/>
  <c r="R46" i="2" s="1"/>
  <c r="R160" i="2"/>
  <c r="R141" i="2"/>
  <c r="R53" i="2"/>
  <c r="R54" i="2"/>
  <c r="G131" i="2"/>
  <c r="G143" i="2" s="1"/>
  <c r="G114" i="2" s="1"/>
  <c r="G116" i="2" s="1"/>
  <c r="G117" i="2" s="1"/>
  <c r="G118" i="2" s="1"/>
  <c r="S39" i="2"/>
  <c r="R159" i="2"/>
  <c r="R136" i="2"/>
  <c r="S49" i="2"/>
  <c r="I158" i="2"/>
  <c r="I161" i="2" s="1"/>
  <c r="I131" i="2"/>
  <c r="I143" i="2" s="1"/>
  <c r="I114" i="2" s="1"/>
  <c r="S35" i="2"/>
  <c r="R74" i="2"/>
  <c r="R18" i="2"/>
  <c r="R19" i="2" s="1"/>
  <c r="F19" i="2"/>
  <c r="I146" i="2"/>
  <c r="I122" i="2"/>
  <c r="S34" i="2"/>
  <c r="G161" i="2"/>
  <c r="G167" i="2" s="1"/>
  <c r="S43" i="2"/>
  <c r="F136" i="2"/>
  <c r="F143" i="2" s="1"/>
  <c r="F114" i="2" s="1"/>
  <c r="S48" i="2"/>
  <c r="H143" i="2"/>
  <c r="H114" i="2" s="1"/>
  <c r="H116" i="2" s="1"/>
  <c r="H117" i="2" s="1"/>
  <c r="H118" i="2" s="1"/>
  <c r="F116" i="2" l="1"/>
  <c r="F117" i="2" s="1"/>
  <c r="F118" i="2" s="1"/>
  <c r="J158" i="2"/>
  <c r="J161" i="2" s="1"/>
  <c r="J131" i="2"/>
  <c r="J143" i="2" s="1"/>
  <c r="J114" i="2" s="1"/>
  <c r="J164" i="2"/>
  <c r="J165" i="2" s="1"/>
  <c r="J148" i="2"/>
  <c r="J115" i="2" s="1"/>
  <c r="K103" i="2"/>
  <c r="K90" i="2"/>
  <c r="K130" i="2" s="1"/>
  <c r="K89" i="2"/>
  <c r="K129" i="2" s="1"/>
  <c r="K81" i="2"/>
  <c r="L80" i="2"/>
  <c r="K121" i="2"/>
  <c r="I125" i="2"/>
  <c r="I113" i="2" s="1"/>
  <c r="J153" i="2"/>
  <c r="J155" i="2" s="1"/>
  <c r="J125" i="2"/>
  <c r="J113" i="2" s="1"/>
  <c r="I164" i="2"/>
  <c r="I165" i="2" s="1"/>
  <c r="I167" i="2" s="1"/>
  <c r="I148" i="2"/>
  <c r="I115" i="2" s="1"/>
  <c r="R56" i="2"/>
  <c r="J116" i="2" l="1"/>
  <c r="J117" i="2" s="1"/>
  <c r="J118" i="2" s="1"/>
  <c r="K122" i="2"/>
  <c r="K125" i="2" s="1"/>
  <c r="K113" i="2" s="1"/>
  <c r="I116" i="2"/>
  <c r="I117" i="2" s="1"/>
  <c r="K158" i="2"/>
  <c r="K161" i="2" s="1"/>
  <c r="K131" i="2"/>
  <c r="K143" i="2" s="1"/>
  <c r="K114" i="2" s="1"/>
  <c r="K153" i="2"/>
  <c r="K155" i="2" s="1"/>
  <c r="J167" i="2"/>
  <c r="L90" i="2"/>
  <c r="L130" i="2" s="1"/>
  <c r="L89" i="2"/>
  <c r="L81" i="2"/>
  <c r="L122" i="2" s="1"/>
  <c r="L103" i="2"/>
  <c r="L146" i="2" s="1"/>
  <c r="M80" i="2"/>
  <c r="L121" i="2"/>
  <c r="K146" i="2"/>
  <c r="L153" i="2" l="1"/>
  <c r="L155" i="2" s="1"/>
  <c r="L125" i="2"/>
  <c r="L113" i="2" s="1"/>
  <c r="L129" i="2"/>
  <c r="I118" i="2"/>
  <c r="K164" i="2"/>
  <c r="K165" i="2" s="1"/>
  <c r="K167" i="2" s="1"/>
  <c r="K148" i="2"/>
  <c r="K115" i="2" s="1"/>
  <c r="K116" i="2" s="1"/>
  <c r="K117" i="2" s="1"/>
  <c r="K118" i="2" s="1"/>
  <c r="L164" i="2"/>
  <c r="L165" i="2" s="1"/>
  <c r="L148" i="2"/>
  <c r="L115" i="2" s="1"/>
  <c r="M89" i="2"/>
  <c r="M129" i="2" s="1"/>
  <c r="M81" i="2"/>
  <c r="M122" i="2" s="1"/>
  <c r="M103" i="2"/>
  <c r="M90" i="2"/>
  <c r="M130" i="2" s="1"/>
  <c r="N80" i="2"/>
  <c r="M121" i="2"/>
  <c r="M146" i="2" l="1"/>
  <c r="L158" i="2"/>
  <c r="L161" i="2" s="1"/>
  <c r="L131" i="2"/>
  <c r="L143" i="2" s="1"/>
  <c r="L114" i="2" s="1"/>
  <c r="L116" i="2" s="1"/>
  <c r="L117" i="2" s="1"/>
  <c r="M153" i="2"/>
  <c r="M155" i="2" s="1"/>
  <c r="M125" i="2"/>
  <c r="M113" i="2" s="1"/>
  <c r="N103" i="2"/>
  <c r="N146" i="2" s="1"/>
  <c r="N90" i="2"/>
  <c r="N130" i="2" s="1"/>
  <c r="N89" i="2"/>
  <c r="N129" i="2" s="1"/>
  <c r="O80" i="2"/>
  <c r="N81" i="2"/>
  <c r="N122" i="2" s="1"/>
  <c r="N121" i="2"/>
  <c r="M158" i="2"/>
  <c r="M161" i="2" s="1"/>
  <c r="M131" i="2"/>
  <c r="M143" i="2" s="1"/>
  <c r="M114" i="2" s="1"/>
  <c r="L167" i="2"/>
  <c r="L118" i="2" l="1"/>
  <c r="N158" i="2"/>
  <c r="N161" i="2" s="1"/>
  <c r="N131" i="2"/>
  <c r="N143" i="2" s="1"/>
  <c r="N114" i="2" s="1"/>
  <c r="N153" i="2"/>
  <c r="N155" i="2" s="1"/>
  <c r="N125" i="2"/>
  <c r="N113" i="2" s="1"/>
  <c r="N164" i="2"/>
  <c r="N165" i="2" s="1"/>
  <c r="N148" i="2"/>
  <c r="N115" i="2" s="1"/>
  <c r="O103" i="2"/>
  <c r="O146" i="2" s="1"/>
  <c r="O90" i="2"/>
  <c r="O130" i="2" s="1"/>
  <c r="O89" i="2"/>
  <c r="O129" i="2" s="1"/>
  <c r="O81" i="2"/>
  <c r="O122" i="2" s="1"/>
  <c r="P80" i="2"/>
  <c r="O121" i="2"/>
  <c r="M148" i="2"/>
  <c r="M115" i="2" s="1"/>
  <c r="M116" i="2" s="1"/>
  <c r="M117" i="2" s="1"/>
  <c r="M164" i="2"/>
  <c r="M165" i="2" s="1"/>
  <c r="M167" i="2" s="1"/>
  <c r="N116" i="2" l="1"/>
  <c r="N117" i="2" s="1"/>
  <c r="N118" i="2" s="1"/>
  <c r="M118" i="2"/>
  <c r="O153" i="2"/>
  <c r="O155" i="2" s="1"/>
  <c r="O125" i="2"/>
  <c r="O113" i="2" s="1"/>
  <c r="P90" i="2"/>
  <c r="P130" i="2" s="1"/>
  <c r="P89" i="2"/>
  <c r="P129" i="2" s="1"/>
  <c r="P81" i="2"/>
  <c r="P122" i="2" s="1"/>
  <c r="Q80" i="2"/>
  <c r="P103" i="2"/>
  <c r="P146" i="2" s="1"/>
  <c r="P121" i="2"/>
  <c r="O164" i="2"/>
  <c r="O165" i="2" s="1"/>
  <c r="O148" i="2"/>
  <c r="O115" i="2" s="1"/>
  <c r="O158" i="2"/>
  <c r="O161" i="2" s="1"/>
  <c r="O131" i="2"/>
  <c r="O143" i="2" s="1"/>
  <c r="O114" i="2" s="1"/>
  <c r="N167" i="2"/>
  <c r="O116" i="2" l="1"/>
  <c r="O117" i="2" s="1"/>
  <c r="O118" i="2" s="1"/>
  <c r="O167" i="2"/>
  <c r="P153" i="2"/>
  <c r="P155" i="2" s="1"/>
  <c r="P125" i="2"/>
  <c r="P113" i="2" s="1"/>
  <c r="P158" i="2"/>
  <c r="P161" i="2" s="1"/>
  <c r="P131" i="2"/>
  <c r="P143" i="2" s="1"/>
  <c r="P114" i="2" s="1"/>
  <c r="Q89" i="2"/>
  <c r="Q81" i="2"/>
  <c r="Q103" i="2"/>
  <c r="Q90" i="2"/>
  <c r="Q121" i="2"/>
  <c r="R80" i="2"/>
  <c r="P164" i="2"/>
  <c r="P165" i="2" s="1"/>
  <c r="P148" i="2"/>
  <c r="P115" i="2" s="1"/>
  <c r="Q122" i="2" l="1"/>
  <c r="R122" i="2" s="1"/>
  <c r="R81" i="2"/>
  <c r="P116" i="2"/>
  <c r="P117" i="2" s="1"/>
  <c r="P118" i="2" s="1"/>
  <c r="Q153" i="2"/>
  <c r="Q155" i="2" s="1"/>
  <c r="R121" i="2"/>
  <c r="Q129" i="2"/>
  <c r="R89" i="2"/>
  <c r="P167" i="2"/>
  <c r="Q130" i="2"/>
  <c r="R130" i="2" s="1"/>
  <c r="R90" i="2"/>
  <c r="Q146" i="2"/>
  <c r="R103" i="2"/>
  <c r="Q125" i="2" l="1"/>
  <c r="Q113" i="2" s="1"/>
  <c r="Q148" i="2"/>
  <c r="Q115" i="2" s="1"/>
  <c r="Q164" i="2"/>
  <c r="Q165" i="2" s="1"/>
  <c r="R146" i="2"/>
  <c r="Q131" i="2"/>
  <c r="Q143" i="2" s="1"/>
  <c r="Q114" i="2" s="1"/>
  <c r="Q158" i="2"/>
  <c r="Q161" i="2" s="1"/>
  <c r="Q167" i="2" s="1"/>
  <c r="R129" i="2"/>
  <c r="R153" i="2"/>
  <c r="R155" i="2" s="1"/>
  <c r="R125" i="2"/>
  <c r="R113" i="2" s="1"/>
  <c r="Q116" i="2" l="1"/>
  <c r="Q117" i="2" s="1"/>
  <c r="S117" i="2" s="1"/>
  <c r="R158" i="2"/>
  <c r="R161" i="2" s="1"/>
  <c r="R131" i="2"/>
  <c r="R143" i="2" s="1"/>
  <c r="R114" i="2" s="1"/>
  <c r="R164" i="2"/>
  <c r="R165" i="2" s="1"/>
  <c r="R148" i="2"/>
  <c r="R115" i="2" s="1"/>
  <c r="R116" i="2" l="1"/>
  <c r="R117" i="2" s="1"/>
  <c r="R118" i="2" s="1"/>
  <c r="R167" i="2"/>
  <c r="Q118" i="2"/>
  <c r="N28" i="4" l="1"/>
  <c r="M28" i="4"/>
  <c r="L28" i="4"/>
  <c r="K28" i="4"/>
  <c r="J28" i="4"/>
  <c r="I28" i="4"/>
  <c r="H28" i="4"/>
  <c r="G28" i="4"/>
  <c r="F28" i="4"/>
  <c r="E28" i="4"/>
  <c r="D28" i="4"/>
  <c r="C28" i="4"/>
  <c r="B28" i="4"/>
  <c r="G37" i="5" l="1"/>
  <c r="G31" i="5"/>
  <c r="E16" i="5"/>
  <c r="G32" i="5" s="1"/>
  <c r="G33" i="5" s="1"/>
  <c r="C15" i="5"/>
  <c r="E12" i="5"/>
  <c r="C12" i="5"/>
  <c r="C16" i="5" s="1"/>
  <c r="E11" i="5"/>
  <c r="E13" i="5" s="1"/>
  <c r="E17" i="5" s="1"/>
  <c r="C11" i="5"/>
  <c r="C13" i="5" s="1"/>
  <c r="C17" i="5" s="1"/>
  <c r="C9" i="5"/>
  <c r="E8" i="5"/>
  <c r="G12" i="5" s="1"/>
  <c r="G16" i="5" s="1"/>
  <c r="C8" i="5"/>
  <c r="C22" i="5" s="1"/>
  <c r="G9" i="5"/>
  <c r="E7" i="5"/>
  <c r="E9" i="5" s="1"/>
  <c r="C7" i="5"/>
  <c r="C21" i="5" s="1"/>
  <c r="E21" i="5" s="1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N54" i="4"/>
  <c r="N58" i="4" s="1"/>
  <c r="M54" i="4"/>
  <c r="L54" i="4"/>
  <c r="L58" i="4" s="1"/>
  <c r="K54" i="4"/>
  <c r="J54" i="4"/>
  <c r="J58" i="4" s="1"/>
  <c r="I54" i="4"/>
  <c r="H54" i="4"/>
  <c r="H58" i="4" s="1"/>
  <c r="G54" i="4"/>
  <c r="F54" i="4"/>
  <c r="F58" i="4" s="1"/>
  <c r="E54" i="4"/>
  <c r="D54" i="4"/>
  <c r="D58" i="4" s="1"/>
  <c r="C54" i="4"/>
  <c r="B54" i="4"/>
  <c r="B58" i="4" s="1"/>
  <c r="N50" i="4"/>
  <c r="M50" i="4"/>
  <c r="M58" i="4" s="1"/>
  <c r="L50" i="4"/>
  <c r="K50" i="4"/>
  <c r="K58" i="4" s="1"/>
  <c r="J50" i="4"/>
  <c r="I50" i="4"/>
  <c r="I58" i="4" s="1"/>
  <c r="H50" i="4"/>
  <c r="G50" i="4"/>
  <c r="G58" i="4" s="1"/>
  <c r="F50" i="4"/>
  <c r="E50" i="4"/>
  <c r="E58" i="4" s="1"/>
  <c r="D50" i="4"/>
  <c r="C50" i="4"/>
  <c r="C58" i="4" s="1"/>
  <c r="B50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N40" i="4"/>
  <c r="N44" i="4" s="1"/>
  <c r="M40" i="4"/>
  <c r="M44" i="4" s="1"/>
  <c r="L40" i="4"/>
  <c r="L44" i="4" s="1"/>
  <c r="K40" i="4"/>
  <c r="J40" i="4"/>
  <c r="J44" i="4" s="1"/>
  <c r="I40" i="4"/>
  <c r="I44" i="4" s="1"/>
  <c r="H40" i="4"/>
  <c r="H44" i="4" s="1"/>
  <c r="G40" i="4"/>
  <c r="F40" i="4"/>
  <c r="F44" i="4" s="1"/>
  <c r="E40" i="4"/>
  <c r="E44" i="4" s="1"/>
  <c r="D40" i="4"/>
  <c r="D44" i="4" s="1"/>
  <c r="C40" i="4"/>
  <c r="B40" i="4"/>
  <c r="B44" i="4" s="1"/>
  <c r="N36" i="4"/>
  <c r="M36" i="4"/>
  <c r="L36" i="4"/>
  <c r="K36" i="4"/>
  <c r="K44" i="4" s="1"/>
  <c r="J36" i="4"/>
  <c r="I36" i="4"/>
  <c r="H36" i="4"/>
  <c r="G36" i="4"/>
  <c r="G44" i="4" s="1"/>
  <c r="F36" i="4"/>
  <c r="E36" i="4"/>
  <c r="D36" i="4"/>
  <c r="C36" i="4"/>
  <c r="C44" i="4" s="1"/>
  <c r="B36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N26" i="4"/>
  <c r="N30" i="4" s="1"/>
  <c r="M26" i="4"/>
  <c r="L26" i="4"/>
  <c r="L30" i="4" s="1"/>
  <c r="K26" i="4"/>
  <c r="K30" i="4" s="1"/>
  <c r="J26" i="4"/>
  <c r="J30" i="4" s="1"/>
  <c r="I26" i="4"/>
  <c r="H26" i="4"/>
  <c r="H30" i="4" s="1"/>
  <c r="G26" i="4"/>
  <c r="G30" i="4" s="1"/>
  <c r="F26" i="4"/>
  <c r="F30" i="4" s="1"/>
  <c r="E26" i="4"/>
  <c r="D26" i="4"/>
  <c r="D30" i="4" s="1"/>
  <c r="C26" i="4"/>
  <c r="C30" i="4" s="1"/>
  <c r="B26" i="4"/>
  <c r="B30" i="4" s="1"/>
  <c r="N22" i="4"/>
  <c r="M22" i="4"/>
  <c r="M30" i="4" s="1"/>
  <c r="L22" i="4"/>
  <c r="K22" i="4"/>
  <c r="J22" i="4"/>
  <c r="I22" i="4"/>
  <c r="I30" i="4" s="1"/>
  <c r="H22" i="4"/>
  <c r="G22" i="4"/>
  <c r="F22" i="4"/>
  <c r="E22" i="4"/>
  <c r="E30" i="4" s="1"/>
  <c r="D22" i="4"/>
  <c r="C22" i="4"/>
  <c r="B22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N16" i="4" s="1"/>
  <c r="M12" i="4"/>
  <c r="M16" i="4" s="1"/>
  <c r="L12" i="4"/>
  <c r="L16" i="4" s="1"/>
  <c r="K12" i="4"/>
  <c r="J12" i="4"/>
  <c r="J16" i="4" s="1"/>
  <c r="I12" i="4"/>
  <c r="I16" i="4" s="1"/>
  <c r="H12" i="4"/>
  <c r="H16" i="4" s="1"/>
  <c r="G12" i="4"/>
  <c r="F12" i="4"/>
  <c r="F16" i="4" s="1"/>
  <c r="E12" i="4"/>
  <c r="E16" i="4" s="1"/>
  <c r="D12" i="4"/>
  <c r="D16" i="4" s="1"/>
  <c r="C12" i="4"/>
  <c r="B12" i="4"/>
  <c r="B16" i="4" s="1"/>
  <c r="N8" i="4"/>
  <c r="M8" i="4"/>
  <c r="L8" i="4"/>
  <c r="K8" i="4"/>
  <c r="K16" i="4" s="1"/>
  <c r="J8" i="4"/>
  <c r="I8" i="4"/>
  <c r="H8" i="4"/>
  <c r="G8" i="4"/>
  <c r="G16" i="4" s="1"/>
  <c r="F8" i="4"/>
  <c r="E8" i="4"/>
  <c r="D8" i="4"/>
  <c r="C8" i="4"/>
  <c r="C16" i="4" s="1"/>
  <c r="B8" i="4"/>
  <c r="D4" i="4"/>
  <c r="E4" i="4" s="1"/>
  <c r="F4" i="4" s="1"/>
  <c r="G4" i="4" s="1"/>
  <c r="H4" i="4" s="1"/>
  <c r="I4" i="4" s="1"/>
  <c r="J4" i="4" s="1"/>
  <c r="K4" i="4" s="1"/>
  <c r="L4" i="4" s="1"/>
  <c r="M4" i="4" s="1"/>
  <c r="N4" i="4" s="1"/>
  <c r="B18" i="4" s="1"/>
  <c r="C18" i="4" s="1"/>
  <c r="D18" i="4" s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B32" i="4" s="1"/>
  <c r="C32" i="4" s="1"/>
  <c r="D32" i="4" s="1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B46" i="4" s="1"/>
  <c r="C46" i="4" s="1"/>
  <c r="D46" i="4" s="1"/>
  <c r="E46" i="4" s="1"/>
  <c r="F46" i="4" s="1"/>
  <c r="G46" i="4" s="1"/>
  <c r="H46" i="4" s="1"/>
  <c r="I46" i="4" s="1"/>
  <c r="J46" i="4" s="1"/>
  <c r="K46" i="4" s="1"/>
  <c r="L46" i="4" s="1"/>
  <c r="M46" i="4" s="1"/>
  <c r="N46" i="4" s="1"/>
  <c r="C4" i="4"/>
  <c r="G22" i="5" l="1"/>
  <c r="E22" i="5"/>
  <c r="E23" i="5" s="1"/>
  <c r="G21" i="5"/>
  <c r="C23" i="5"/>
  <c r="G38" i="5"/>
  <c r="G39" i="5" s="1"/>
  <c r="G11" i="5"/>
  <c r="E15" i="5"/>
  <c r="C32" i="5" s="1"/>
  <c r="C33" i="5" s="1"/>
  <c r="C38" i="5" s="1"/>
  <c r="C39" i="5" s="1"/>
  <c r="G23" i="5" l="1"/>
  <c r="G25" i="5" s="1"/>
  <c r="G27" i="5" s="1"/>
  <c r="I21" i="5"/>
  <c r="I22" i="5"/>
  <c r="G13" i="5"/>
  <c r="G17" i="5" s="1"/>
  <c r="G15" i="5"/>
  <c r="I23" i="5" l="1"/>
  <c r="G41" i="5" l="1"/>
  <c r="G43" i="5" s="1"/>
  <c r="G45" i="5" l="1"/>
  <c r="G47" i="5" s="1"/>
</calcChain>
</file>

<file path=xl/comments1.xml><?xml version="1.0" encoding="utf-8"?>
<comments xmlns="http://schemas.openxmlformats.org/spreadsheetml/2006/main">
  <authors>
    <author>Sevall, Scott (UTC)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why is this not $14.44?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Why is this not $16.41?
</t>
        </r>
        <r>
          <rPr>
            <b/>
            <sz val="9"/>
            <color indexed="81"/>
            <rFont val="Tahoma"/>
            <family val="2"/>
          </rPr>
          <t>Blended rate, since new wage didn't take effect until 4/1/15</t>
        </r>
      </text>
    </comment>
  </commentList>
</comments>
</file>

<file path=xl/comments2.xml><?xml version="1.0" encoding="utf-8"?>
<comments xmlns="http://schemas.openxmlformats.org/spreadsheetml/2006/main">
  <authors>
    <author>Alex Brenner</author>
    <author>joannewright</author>
    <author>Amy White</author>
  </authors>
  <commentList>
    <comment ref="B12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'Commercial Op Stat Trend Report' - Total Disposal Tons + SOM (Sale of Material) Tons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'Residential Op Stat Trend Report' - Total Disposal Tons + SOM (Sale of Material) Tons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'Industrial Op Stat Trend Report' - Total Disposal Tons + SOM (Sale of Material) Tons</t>
        </r>
      </text>
    </comment>
    <comment ref="D23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24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27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King County report
</t>
        </r>
      </text>
    </comment>
    <comment ref="D28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King County report
</t>
        </r>
      </text>
    </comment>
    <comment ref="D34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5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8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9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42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S42" authorId="2">
      <text>
        <r>
          <rPr>
            <b/>
            <sz val="9"/>
            <color indexed="81"/>
            <rFont val="Tahoma"/>
            <family val="2"/>
          </rPr>
          <t>Amy White:</t>
        </r>
        <r>
          <rPr>
            <sz val="9"/>
            <color indexed="81"/>
            <rFont val="Tahoma"/>
            <family val="2"/>
          </rPr>
          <t xml:space="preserve">
Used to allocate Cedar Grove fee increase adjustment
</t>
        </r>
      </text>
    </comment>
    <comment ref="D43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C48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From daily disposal reports.</t>
        </r>
      </text>
    </comment>
    <comment ref="C49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From daily disposal reports.</t>
        </r>
      </text>
    </comment>
    <comment ref="R167" authorId="2">
      <text>
        <r>
          <rPr>
            <b/>
            <sz val="9"/>
            <color indexed="81"/>
            <rFont val="Tahoma"/>
            <family val="2"/>
          </rPr>
          <t>Amy White:</t>
        </r>
        <r>
          <rPr>
            <sz val="9"/>
            <color indexed="81"/>
            <rFont val="Tahoma"/>
            <family val="2"/>
          </rPr>
          <t xml:space="preserve">
This ties forward to amount on pro forma statement </t>
        </r>
      </text>
    </comment>
  </commentList>
</comments>
</file>

<file path=xl/sharedStrings.xml><?xml version="1.0" encoding="utf-8"?>
<sst xmlns="http://schemas.openxmlformats.org/spreadsheetml/2006/main" count="1056" uniqueCount="296">
  <si>
    <t>Commercial</t>
  </si>
  <si>
    <t>Residential</t>
  </si>
  <si>
    <t>Total Garbage</t>
  </si>
  <si>
    <t>Total Recycling</t>
  </si>
  <si>
    <t>Total Yardwaste</t>
  </si>
  <si>
    <t>PRICE</t>
  </si>
  <si>
    <t>COST</t>
  </si>
  <si>
    <t>Total</t>
  </si>
  <si>
    <t>Total Tons</t>
  </si>
  <si>
    <t>% Variance</t>
  </si>
  <si>
    <t>Rabanco Ltd</t>
  </si>
  <si>
    <t>Minium Wage Impact to Processing fee</t>
  </si>
  <si>
    <t>52 Weeks</t>
  </si>
  <si>
    <t>Regular Hours</t>
  </si>
  <si>
    <t>OT Hours</t>
  </si>
  <si>
    <t>Total Hours</t>
  </si>
  <si>
    <t>Regular Wages</t>
  </si>
  <si>
    <t>OT Wages</t>
  </si>
  <si>
    <t>Total Wages</t>
  </si>
  <si>
    <t>Reg Per Hour</t>
  </si>
  <si>
    <t>OT Per Hour</t>
  </si>
  <si>
    <t>Combined Per Hour</t>
  </si>
  <si>
    <t>Minimum Wage Impact to Processing fee</t>
  </si>
  <si>
    <t xml:space="preserve">Actual </t>
  </si>
  <si>
    <t>Actual</t>
  </si>
  <si>
    <t>Projected</t>
  </si>
  <si>
    <t>1/11-4/5/15</t>
  </si>
  <si>
    <t>4/12-9/13/15</t>
  </si>
  <si>
    <t>9/20-1/03/16</t>
  </si>
  <si>
    <t xml:space="preserve">Minimum Wage Impact </t>
  </si>
  <si>
    <t>Annual Hours</t>
  </si>
  <si>
    <t>Prior to the Increase</t>
  </si>
  <si>
    <t>With 2015 Min Wage Increase</t>
  </si>
  <si>
    <t>With 2016 Min Wage Increase</t>
  </si>
  <si>
    <t>2015 Min Wage Impact to Processing Fee</t>
  </si>
  <si>
    <t>2015 Ton Processed Tons</t>
  </si>
  <si>
    <t>Increased processing cost per ton</t>
  </si>
  <si>
    <t>2015 Mark up % Calculation</t>
  </si>
  <si>
    <t>Min Wage</t>
  </si>
  <si>
    <t xml:space="preserve">  - Regular per hour</t>
  </si>
  <si>
    <t xml:space="preserve"> - Contract Rate</t>
  </si>
  <si>
    <t>Contract</t>
  </si>
  <si>
    <t>2016 Mark up % Calculation</t>
  </si>
  <si>
    <t>2016 Min Wage Impact to Processing Fee</t>
  </si>
  <si>
    <t>2016 Ton Processed Tons</t>
  </si>
  <si>
    <t>Total Per Ton Increase</t>
  </si>
  <si>
    <t>Current Processing Fee</t>
  </si>
  <si>
    <t>Revised Processing Fee</t>
  </si>
  <si>
    <t>Republi</t>
  </si>
  <si>
    <t>c Services, Inc.</t>
  </si>
  <si>
    <t>Report Name:</t>
  </si>
  <si>
    <t>Page:   1</t>
  </si>
  <si>
    <t>4584 Ra</t>
  </si>
  <si>
    <t>banco Recycling Company M</t>
  </si>
  <si>
    <t>RF</t>
  </si>
  <si>
    <t>Run Date: 11</t>
  </si>
  <si>
    <t>October</t>
  </si>
  <si>
    <t>31, 2015</t>
  </si>
  <si>
    <t>Acct</t>
  </si>
  <si>
    <t>Account Description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</si>
  <si>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</si>
  <si>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</si>
  <si>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</si>
  <si>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</si>
  <si>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</si>
  <si>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</si>
  <si>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</si>
  <si>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</si>
  <si>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November</t>
  </si>
  <si>
    <t>------</t>
  </si>
  <si>
    <t>-------------------------</t>
  </si>
  <si>
    <t>-----------</t>
  </si>
  <si>
    <t>----------</t>
  </si>
  <si>
    <t>Workdays</t>
  </si>
  <si>
    <t>_x000C_ epubl</t>
  </si>
  <si>
    <t>ic Services, Inc.</t>
  </si>
  <si>
    <t>Report Name</t>
  </si>
  <si>
    <t>Total MRF Tons/Day</t>
  </si>
  <si>
    <t>==========</t>
  </si>
  <si>
    <t>January</t>
  </si>
  <si>
    <t>December</t>
  </si>
  <si>
    <t>4584XOSTMIN</t>
  </si>
  <si>
    <t>/16/15  16:5</t>
  </si>
  <si>
    <t>MRF- Op</t>
  </si>
  <si>
    <t>Stat IB 13-Month Trend</t>
  </si>
  <si>
    <t>** Consolida</t>
  </si>
  <si>
    <t>ted Level Ra</t>
  </si>
  <si>
    <t>*Co</t>
  </si>
  <si>
    <t>---------</t>
  </si>
  <si>
    <t>Tip/Proc Waste:</t>
  </si>
  <si>
    <t>MRF-Tip/Proc Waste O/S</t>
  </si>
  <si>
    <t>MRF-Waste Tns Recd O/S</t>
  </si>
  <si>
    <t>Tip/Proc Waste O/S Rate/T</t>
  </si>
  <si>
    <t>Tip/Proc Waste O/S Tons/D</t>
  </si>
  <si>
    <t>MRF-Tip/Proc Waste I/C</t>
  </si>
  <si>
    <t>MRF-Waste Tns Recd I/C</t>
  </si>
  <si>
    <t>Tip/Proc Waste I/C Rate/T</t>
  </si>
  <si>
    <t>Tip/Proc Waste I/C Tons/D</t>
  </si>
  <si>
    <t>-</t>
  </si>
  <si>
    <t>Total Tons/Day</t>
  </si>
  <si>
    <t>=</t>
  </si>
  <si>
    <t>=========</t>
  </si>
  <si>
    <t>Tip/Proc Recycle:</t>
  </si>
  <si>
    <t>MRF Tip/Proc Recycle O/S</t>
  </si>
  <si>
    <t>COGS REC SOM O/S</t>
  </si>
  <si>
    <t>MRF-Recyclable Tns Recd O</t>
  </si>
  <si>
    <t>Tip/Proc Recy O/S Rate/To</t>
  </si>
  <si>
    <t>Tip/Proc Recy O/S Tons/Da</t>
  </si>
  <si>
    <t>MRF Tip/Proc Recycle I/C</t>
  </si>
  <si>
    <t>COGS REC SOM I/C</t>
  </si>
  <si>
    <t>MRF-Recyclable Tns Recd I</t>
  </si>
  <si>
    <t>Tip/Proc Recy I/C Rate/To</t>
  </si>
  <si>
    <t>Tip/Proc Recy I/C Tons/Da</t>
  </si>
  <si>
    <t>Processed-Res:</t>
  </si>
  <si>
    <t>MRF Res-Proc O/S</t>
  </si>
  <si>
    <t>MRF COGS Res-Proc O/S</t>
  </si>
  <si>
    <t>MRF Tns In Res-Proc O/S</t>
  </si>
  <si>
    <t>Res-Proc O/S Rate/Ton</t>
  </si>
  <si>
    <t>Res-Proc O/S Tons/Day</t>
  </si>
  <si>
    <t>MRF Res-Proc I/C</t>
  </si>
  <si>
    <t>MRF COGS Res-Proc I/C</t>
  </si>
  <si>
    <t>MRF Tns In Res-Proc I/C</t>
  </si>
  <si>
    <t>Res-Proc I/C Rate/Ton</t>
  </si>
  <si>
    <t>Res-Proc I/C Tons/Day</t>
  </si>
  <si>
    <t>: 4584XOSTMI</t>
  </si>
  <si>
    <t>Processed-Com/Ind:</t>
  </si>
  <si>
    <t>MRF Com/Ind-Proc O/S</t>
  </si>
  <si>
    <t>MRF COGS Com/Ind-Proc O/S</t>
  </si>
  <si>
    <t>MRF Tns In Com/Ind-Proc O</t>
  </si>
  <si>
    <t>Com/Ind-Proc O/S Rate/Ton</t>
  </si>
  <si>
    <t>Com/Ind-Proc O/S Tons/Day</t>
  </si>
  <si>
    <t>MRF Com/Ind-Proc I/C</t>
  </si>
  <si>
    <t>MRF COGS Com/Ind-Proc I/C</t>
  </si>
  <si>
    <t>MRF Tns In Com/Ind-Proc I</t>
  </si>
  <si>
    <t>Com/Ind-Proc I/C Rate/Ton</t>
  </si>
  <si>
    <t>Com/Ind-Proc I/C Tons/Day</t>
  </si>
  <si>
    <t>Processed-DryWste Com/Ind</t>
  </si>
  <si>
    <t>MRF DryWst Com/Ind-Proc O</t>
  </si>
  <si>
    <t>MRF COGS DryWst Com/Ind-P</t>
  </si>
  <si>
    <t>MRF Tns In DryWst Com/Ind</t>
  </si>
  <si>
    <t>DryWst-Proc O/S Rate/Ton</t>
  </si>
  <si>
    <t>DryWst-Proc O/S Tons/Day</t>
  </si>
  <si>
    <t>DryWst-Proc I/C Rate/Ton</t>
  </si>
  <si>
    <t>DryWst-Proc I/C Tons/Day</t>
  </si>
  <si>
    <t>High Grade:</t>
  </si>
  <si>
    <t>MRF High Grade O/S</t>
  </si>
  <si>
    <t>MRF COGS High Grade O/S</t>
  </si>
  <si>
    <t>MRF Tns In High Grade O/S</t>
  </si>
  <si>
    <t>High Grade O/S Rate/Ton</t>
  </si>
  <si>
    <t>High Grade O/S Tons/Day</t>
  </si>
  <si>
    <t>MRF COGS High Grade I/C</t>
  </si>
  <si>
    <t>MRF Tns In High Grade I/C</t>
  </si>
  <si>
    <t>High Grade I/C Rate/Ton</t>
  </si>
  <si>
    <t>High Grade I/C Tons/Day</t>
  </si>
  <si>
    <t>Dump &amp; Bale:</t>
  </si>
  <si>
    <t>MRF Dump &amp; Bale O/S</t>
  </si>
  <si>
    <t>MRF COGS Dump &amp; Bale O/S</t>
  </si>
  <si>
    <t>MRF Tns In Dump &amp; Bale O/</t>
  </si>
  <si>
    <t>Dump&amp;Bale O/S Rate/Ton</t>
  </si>
  <si>
    <t>Dump&amp;Bale O/S Tons/Day</t>
  </si>
  <si>
    <t>MRF Dump &amp; Bale I/C</t>
  </si>
  <si>
    <t>MRF COGS Dump &amp; Bale I/C</t>
  </si>
  <si>
    <t>MRF Tns In Dump &amp; Bale I/</t>
  </si>
  <si>
    <t>Dump&amp;Bale I/C Rate/Ton</t>
  </si>
  <si>
    <t>Dump&amp;Bale I/C Tons/Day</t>
  </si>
  <si>
    <t>Cross-Dck/Bale Rt:</t>
  </si>
  <si>
    <t>MRF Cross-Dck/Bale Rt O/S</t>
  </si>
  <si>
    <t>MRF COGS Cross-Dck/Bale R</t>
  </si>
  <si>
    <t>MRF Tns In Cross-Dck/Bale</t>
  </si>
  <si>
    <t>CrsDck/Bale O/S Rate/Ton</t>
  </si>
  <si>
    <t>CrsDck/Bale O/S Tons/Day</t>
  </si>
  <si>
    <t>CrsDck/Bale I/C Rate/Ton</t>
  </si>
  <si>
    <t>CrsDck/Bale I/C Tons/Day</t>
  </si>
  <si>
    <t>Glass:</t>
  </si>
  <si>
    <t>MRF Glass O/S</t>
  </si>
  <si>
    <t>MRF COGS Glass O/S</t>
  </si>
  <si>
    <t>MRF Tns In Glass O/S</t>
  </si>
  <si>
    <t>Glass O/S Rate/Ton</t>
  </si>
  <si>
    <t>Glass O/S Tons/Day</t>
  </si>
  <si>
    <t>MRF Glass I/C</t>
  </si>
  <si>
    <t>MRF COGS Glass I/C</t>
  </si>
  <si>
    <t>MRF Tns In Glass I/C</t>
  </si>
  <si>
    <t>Glass I/C Rate/Ton</t>
  </si>
  <si>
    <t>Glass I/C Tons/Day</t>
  </si>
  <si>
    <t>Brokerage:</t>
  </si>
  <si>
    <t>MRF Brokerage O/S</t>
  </si>
  <si>
    <t>MRF COGS Brokerage O/S</t>
  </si>
  <si>
    <t>MRF Tns In Brokerage O/S</t>
  </si>
  <si>
    <t>Brkge O/S Rate/Ton</t>
  </si>
  <si>
    <t>Brkge O/S Tons/Day</t>
  </si>
  <si>
    <t>MRF COGS Brokerage I/C</t>
  </si>
  <si>
    <t>MRF Tns In Brokerage I/C</t>
  </si>
  <si>
    <t>Brkge I/C Rate/Ton</t>
  </si>
  <si>
    <t>Brkge I/C Tons/Day</t>
  </si>
  <si>
    <t>C&amp;D:</t>
  </si>
  <si>
    <t>MRF C&amp;D O/S</t>
  </si>
  <si>
    <t>MRF COGS C&amp;D O/S</t>
  </si>
  <si>
    <t>MRF Tns In C&amp;D O/S</t>
  </si>
  <si>
    <t>C&amp;D O/S Rate/Ton</t>
  </si>
  <si>
    <t>C&amp;D O/S Tons/Day</t>
  </si>
  <si>
    <t>MRF COGS C&amp;D I/C</t>
  </si>
  <si>
    <t>MRF Tns In C&amp;D I/C</t>
  </si>
  <si>
    <t>C&amp;D I/C Rate/Ton</t>
  </si>
  <si>
    <t>C&amp;D I/C Tons/Day</t>
  </si>
  <si>
    <t>GrnWste/Cmpst:</t>
  </si>
  <si>
    <t>MRF Grnwste/Cmpst O/S</t>
  </si>
  <si>
    <t>MRF COGS Grnwste/Cmpst O/</t>
  </si>
  <si>
    <t>MRF Tns In Grnwste/Cmpst</t>
  </si>
  <si>
    <t>GrnWst/Cmpst O/S Rate/Ton</t>
  </si>
  <si>
    <t>GrnWste/Cmpst O/S Tons/Da</t>
  </si>
  <si>
    <t>MRF COGS Grnwste/Cmpst I/</t>
  </si>
  <si>
    <t>GrnWst/Cmpst I/C Rate/Ton</t>
  </si>
  <si>
    <t>GrnWste/Cmpst I/C Tons/Da</t>
  </si>
  <si>
    <t>Other Recycle:</t>
  </si>
  <si>
    <t>MRF Other Recy O/S</t>
  </si>
  <si>
    <t>MRF COGS Other O/S</t>
  </si>
  <si>
    <t>MRF Tns In Other O/S</t>
  </si>
  <si>
    <t>Other Recy O/S Rate/Ton</t>
  </si>
  <si>
    <t>Other Recy O/S Tons/Day</t>
  </si>
  <si>
    <t>MRF COGS Other I/C</t>
  </si>
  <si>
    <t>MRF Tns In Other I/C</t>
  </si>
  <si>
    <t>Other Recy I/C Rate/Ton</t>
  </si>
  <si>
    <t>Other Recy I/C Tons/Day</t>
  </si>
  <si>
    <t>Inbound Volume:</t>
  </si>
  <si>
    <t>Total MRF Tons O/S</t>
  </si>
  <si>
    <t>Total MRF Tons I/C</t>
  </si>
  <si>
    <t>Total MRF Tons</t>
  </si>
  <si>
    <t>Total MRF O/S Tons/Day</t>
  </si>
  <si>
    <t>Total MRF I/C Tons/Day</t>
  </si>
  <si>
    <t>nge **</t>
  </si>
  <si>
    <t>N   Page:   2</t>
  </si>
  <si>
    <t>N   Page:   3</t>
  </si>
  <si>
    <t>N   Page:   4</t>
  </si>
  <si>
    <t>N   Page:   5</t>
  </si>
  <si>
    <t>Reg Hrs</t>
  </si>
  <si>
    <t>OT Hrs</t>
  </si>
  <si>
    <t>Current Rate</t>
  </si>
  <si>
    <t>New Rate</t>
  </si>
  <si>
    <t>Base Cost</t>
  </si>
  <si>
    <t xml:space="preserve"> - Regular per hour</t>
  </si>
  <si>
    <t>Employee Rate</t>
  </si>
  <si>
    <t>Base</t>
  </si>
  <si>
    <t>2015 Rate</t>
  </si>
  <si>
    <t>2016 Rate</t>
  </si>
  <si>
    <t>Company Cost</t>
  </si>
  <si>
    <t>Contract Cost</t>
  </si>
  <si>
    <t>Regular Wage Schedule</t>
  </si>
  <si>
    <t>Overtime Wage Schedule</t>
  </si>
  <si>
    <t>Annual Inbound Tons</t>
  </si>
  <si>
    <t>Cost per Ton</t>
  </si>
  <si>
    <t>Monthly Cost per Customer</t>
  </si>
  <si>
    <t>Disposal Breakout-Regulated vs.Contract</t>
  </si>
  <si>
    <t>Tons</t>
  </si>
  <si>
    <t>TONS</t>
  </si>
  <si>
    <t>Per General Ledger</t>
  </si>
  <si>
    <t>resi rcy</t>
  </si>
  <si>
    <t>resi msw</t>
  </si>
  <si>
    <t>Rolloff</t>
  </si>
  <si>
    <t>Variance</t>
  </si>
  <si>
    <t>Garbage</t>
  </si>
  <si>
    <t>Reg Garbage</t>
  </si>
  <si>
    <t>Unreg Garbage</t>
  </si>
  <si>
    <t>Recycling</t>
  </si>
  <si>
    <t>MF Recy Reg-</t>
  </si>
  <si>
    <t>Tota Recycling</t>
  </si>
  <si>
    <t>Total Commercial</t>
  </si>
  <si>
    <t>Regulated</t>
  </si>
  <si>
    <t>Unregulated</t>
  </si>
  <si>
    <t>Yardwaste</t>
  </si>
  <si>
    <t>Total Residential</t>
  </si>
  <si>
    <t>Total Rolloff</t>
  </si>
  <si>
    <t>Total Disposal</t>
  </si>
  <si>
    <t>Total Regulated</t>
  </si>
  <si>
    <t>Multifamily recycling</t>
  </si>
  <si>
    <t>MF Reg-Recycle</t>
  </si>
  <si>
    <t>Multi Family Unreg</t>
  </si>
  <si>
    <t>CommercialRecycling</t>
  </si>
  <si>
    <t>Regulated-Tariff 10</t>
  </si>
  <si>
    <t>Calculated</t>
  </si>
  <si>
    <t>MF Reg-Tariff 10-Recycle</t>
  </si>
  <si>
    <t>Commercial Recycling</t>
  </si>
  <si>
    <t>Regulated-Tariff 7</t>
  </si>
  <si>
    <t>Lynnwood Regulated Tons</t>
  </si>
  <si>
    <t>Lynnwood Annual Cost</t>
  </si>
  <si>
    <t>Lynnwood Customers</t>
  </si>
  <si>
    <t>Per 2015 Agreement</t>
  </si>
  <si>
    <t>Regular Time Contract Rate</t>
  </si>
  <si>
    <t>Overtrime Contract Rate</t>
  </si>
  <si>
    <t>Current B&amp;O Tax Rate</t>
  </si>
  <si>
    <t>Current WUTC Fee Rate</t>
  </si>
  <si>
    <t>Total Revenue Tax</t>
  </si>
  <si>
    <t>Revenue Tax Impact</t>
  </si>
  <si>
    <t>Total Cost</t>
  </si>
  <si>
    <t>Appendix A</t>
  </si>
  <si>
    <t>Appendix B</t>
  </si>
  <si>
    <t>Proposed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</si>
</sst>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dd\-mmm\-yy;@"/>
    <numFmt numFmtId="167" formatCode="_(&quot;$&quot;* #,##0_);_(&quot;$&quot;* \(#,##0\);_(&quot;$&quot;* &quot;-&quot;??_);_(@_)"/>
    <numFmt numFmtId="168" formatCode="&quot;$&quot;#,##0.00"/>
    <numFmt numFmtId="169" formatCode="_-* #,##0.00_-;\-* #,##0.00_-;_-* &quot;-&quot;??_-;_-@_-"/>
    <numFmt numFmtId="170" formatCode="_-* #,##0_-;\-* #,##0_-;_-* &quot;-&quot;??_-;_-@_-"/>
    <numFmt numFmtId="171" formatCode="_-&quot;$&quot;* #,##0.00_-;\-&quot;$&quot;* #,##0.00_-;_-&quot;$&quot;* &quot;-&quot;??_-;_-@_-"/>
    <numFmt numFmtId="172" formatCode="_-&quot;$&quot;* #,##0_-;\-&quot;$&quot;* #,##0_-;_-&quot;$&quot;* &quot;-&quot;??_-;_-@_-"/>
    <numFmt numFmtId="173" formatCode="0.00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i/>
      <sz val="10"/>
      <color theme="0" tint="-0.24997711111789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8"/>
      <color theme="0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SWISS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8" borderId="0" applyProtection="0"/>
  </cellStyleXfs>
  <cellXfs count="138">
    <xf numFmtId="0" fontId="0" fillId="0" borderId="0" xfId="0"/>
    <xf numFmtId="0" fontId="6" fillId="0" borderId="0" xfId="0" applyFont="1"/>
    <xf numFmtId="166" fontId="2" fillId="0" borderId="2" xfId="0" applyNumberFormat="1" applyFont="1" applyBorder="1" applyAlignment="1">
      <alignment horizontal="center"/>
    </xf>
    <xf numFmtId="14" fontId="0" fillId="0" borderId="0" xfId="0" applyNumberFormat="1"/>
    <xf numFmtId="164" fontId="0" fillId="0" borderId="0" xfId="1" applyNumberFormat="1" applyFont="1"/>
    <xf numFmtId="164" fontId="0" fillId="0" borderId="3" xfId="1" applyNumberFormat="1" applyFont="1" applyBorder="1"/>
    <xf numFmtId="5" fontId="0" fillId="0" borderId="0" xfId="0" applyNumberFormat="1"/>
    <xf numFmtId="5" fontId="0" fillId="0" borderId="3" xfId="0" applyNumberFormat="1" applyBorder="1"/>
    <xf numFmtId="7" fontId="0" fillId="0" borderId="0" xfId="0" applyNumberFormat="1"/>
    <xf numFmtId="7" fontId="0" fillId="0" borderId="3" xfId="0" applyNumberFormat="1" applyBorder="1"/>
    <xf numFmtId="166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1" applyNumberFormat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164" fontId="0" fillId="0" borderId="0" xfId="0" applyNumberFormat="1"/>
    <xf numFmtId="164" fontId="0" fillId="0" borderId="3" xfId="0" applyNumberFormat="1" applyBorder="1"/>
    <xf numFmtId="165" fontId="0" fillId="0" borderId="0" xfId="2" applyNumberFormat="1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3" fontId="0" fillId="0" borderId="0" xfId="0" applyNumberFormat="1"/>
    <xf numFmtId="44" fontId="0" fillId="0" borderId="0" xfId="8" applyFont="1"/>
    <xf numFmtId="44" fontId="0" fillId="0" borderId="0" xfId="0" applyNumberFormat="1"/>
    <xf numFmtId="167" fontId="0" fillId="0" borderId="0" xfId="0" applyNumberFormat="1"/>
    <xf numFmtId="167" fontId="0" fillId="0" borderId="4" xfId="0" applyNumberFormat="1" applyBorder="1"/>
    <xf numFmtId="168" fontId="0" fillId="0" borderId="0" xfId="0" applyNumberForma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8" fontId="0" fillId="4" borderId="0" xfId="0" applyNumberFormat="1" applyFill="1" applyAlignment="1">
      <alignment horizontal="center"/>
    </xf>
    <xf numFmtId="0" fontId="0" fillId="0" borderId="0" xfId="0" applyAlignment="1">
      <alignment horizontal="left" indent="1"/>
    </xf>
    <xf numFmtId="165" fontId="3" fillId="0" borderId="4" xfId="2" applyNumberFormat="1" applyFont="1" applyBorder="1" applyAlignment="1">
      <alignment horizontal="center"/>
    </xf>
    <xf numFmtId="165" fontId="3" fillId="4" borderId="4" xfId="2" applyNumberFormat="1" applyFont="1" applyFill="1" applyBorder="1" applyAlignment="1">
      <alignment horizontal="center"/>
    </xf>
    <xf numFmtId="168" fontId="0" fillId="0" borderId="0" xfId="8" applyNumberFormat="1" applyFont="1"/>
    <xf numFmtId="0" fontId="0" fillId="0" borderId="0" xfId="0" applyAlignment="1">
      <alignment horizontal="right"/>
    </xf>
    <xf numFmtId="0" fontId="9" fillId="0" borderId="0" xfId="9" applyFont="1"/>
    <xf numFmtId="0" fontId="8" fillId="0" borderId="0" xfId="9"/>
    <xf numFmtId="0" fontId="8" fillId="0" borderId="0" xfId="9" applyAlignment="1">
      <alignment horizontal="right"/>
    </xf>
    <xf numFmtId="17" fontId="9" fillId="5" borderId="0" xfId="9" applyNumberFormat="1" applyFont="1" applyFill="1" applyAlignment="1">
      <alignment horizontal="center"/>
    </xf>
    <xf numFmtId="17" fontId="9" fillId="0" borderId="0" xfId="9" applyNumberFormat="1" applyFont="1" applyAlignment="1">
      <alignment horizontal="center"/>
    </xf>
    <xf numFmtId="0" fontId="9" fillId="0" borderId="0" xfId="9" applyFont="1" applyAlignment="1">
      <alignment horizontal="center"/>
    </xf>
    <xf numFmtId="0" fontId="10" fillId="0" borderId="0" xfId="9" applyFont="1" applyAlignment="1">
      <alignment horizontal="center"/>
    </xf>
    <xf numFmtId="0" fontId="11" fillId="0" borderId="0" xfId="9" applyFont="1"/>
    <xf numFmtId="17" fontId="10" fillId="0" borderId="0" xfId="9" applyNumberFormat="1" applyFont="1" applyAlignment="1">
      <alignment horizontal="center"/>
    </xf>
    <xf numFmtId="164" fontId="8" fillId="0" borderId="0" xfId="10" applyNumberFormat="1"/>
    <xf numFmtId="164" fontId="8" fillId="0" borderId="0" xfId="10" applyNumberFormat="1" applyFont="1"/>
    <xf numFmtId="0" fontId="12" fillId="0" borderId="0" xfId="9" applyFont="1"/>
    <xf numFmtId="164" fontId="12" fillId="0" borderId="0" xfId="10" applyNumberFormat="1" applyFont="1"/>
    <xf numFmtId="164" fontId="8" fillId="0" borderId="3" xfId="10" applyNumberFormat="1" applyBorder="1"/>
    <xf numFmtId="0" fontId="13" fillId="0" borderId="0" xfId="9" applyFont="1"/>
    <xf numFmtId="37" fontId="13" fillId="0" borderId="0" xfId="11" applyNumberFormat="1" applyFont="1"/>
    <xf numFmtId="37" fontId="13" fillId="0" borderId="0" xfId="11" applyNumberFormat="1" applyFont="1" applyBorder="1"/>
    <xf numFmtId="164" fontId="14" fillId="0" borderId="0" xfId="10" applyNumberFormat="1" applyFont="1"/>
    <xf numFmtId="0" fontId="14" fillId="0" borderId="0" xfId="9" applyFont="1"/>
    <xf numFmtId="0" fontId="15" fillId="0" borderId="0" xfId="9" applyFont="1"/>
    <xf numFmtId="165" fontId="13" fillId="0" borderId="0" xfId="2" applyNumberFormat="1" applyFont="1"/>
    <xf numFmtId="43" fontId="9" fillId="0" borderId="0" xfId="9" applyNumberFormat="1" applyFont="1"/>
    <xf numFmtId="43" fontId="8" fillId="0" borderId="0" xfId="9" applyNumberFormat="1"/>
    <xf numFmtId="0" fontId="8" fillId="0" borderId="0" xfId="9" applyFont="1"/>
    <xf numFmtId="0" fontId="8" fillId="0" borderId="0" xfId="0" applyFont="1"/>
    <xf numFmtId="164" fontId="8" fillId="5" borderId="0" xfId="10" applyNumberFormat="1" applyFill="1"/>
    <xf numFmtId="10" fontId="8" fillId="0" borderId="0" xfId="2" applyNumberFormat="1" applyFont="1"/>
    <xf numFmtId="43" fontId="8" fillId="0" borderId="0" xfId="10" applyNumberFormat="1"/>
    <xf numFmtId="164" fontId="8" fillId="0" borderId="0" xfId="10" applyNumberFormat="1" applyFont="1" applyFill="1"/>
    <xf numFmtId="0" fontId="8" fillId="0" borderId="5" xfId="9" applyBorder="1"/>
    <xf numFmtId="0" fontId="8" fillId="0" borderId="4" xfId="9" applyBorder="1"/>
    <xf numFmtId="164" fontId="8" fillId="5" borderId="4" xfId="10" applyNumberFormat="1" applyFill="1" applyBorder="1"/>
    <xf numFmtId="164" fontId="8" fillId="0" borderId="6" xfId="10" applyNumberFormat="1" applyBorder="1"/>
    <xf numFmtId="0" fontId="8" fillId="0" borderId="0" xfId="9" applyFill="1"/>
    <xf numFmtId="0" fontId="8" fillId="0" borderId="0" xfId="9" applyFont="1" applyFill="1" applyBorder="1"/>
    <xf numFmtId="0" fontId="8" fillId="0" borderId="0" xfId="9" applyFill="1" applyBorder="1"/>
    <xf numFmtId="164" fontId="8" fillId="0" borderId="0" xfId="10" applyNumberFormat="1" applyFill="1" applyBorder="1"/>
    <xf numFmtId="164" fontId="8" fillId="0" borderId="0" xfId="10" applyNumberFormat="1" applyFill="1"/>
    <xf numFmtId="43" fontId="8" fillId="0" borderId="0" xfId="10" applyNumberFormat="1" applyFill="1"/>
    <xf numFmtId="0" fontId="8" fillId="0" borderId="7" xfId="9" applyFont="1" applyBorder="1"/>
    <xf numFmtId="0" fontId="8" fillId="0" borderId="3" xfId="9" applyBorder="1"/>
    <xf numFmtId="164" fontId="8" fillId="5" borderId="3" xfId="10" applyNumberFormat="1" applyFill="1" applyBorder="1"/>
    <xf numFmtId="164" fontId="8" fillId="0" borderId="8" xfId="10" applyNumberFormat="1" applyBorder="1"/>
    <xf numFmtId="43" fontId="8" fillId="0" borderId="0" xfId="10"/>
    <xf numFmtId="0" fontId="9" fillId="0" borderId="9" xfId="9" applyFont="1" applyBorder="1"/>
    <xf numFmtId="0" fontId="9" fillId="0" borderId="10" xfId="9" applyFont="1" applyBorder="1"/>
    <xf numFmtId="164" fontId="9" fillId="0" borderId="10" xfId="10" applyNumberFormat="1" applyFont="1" applyBorder="1"/>
    <xf numFmtId="164" fontId="9" fillId="0" borderId="11" xfId="10" applyNumberFormat="1" applyFont="1" applyBorder="1"/>
    <xf numFmtId="165" fontId="16" fillId="0" borderId="0" xfId="2" applyNumberFormat="1" applyFont="1"/>
    <xf numFmtId="0" fontId="17" fillId="0" borderId="0" xfId="9" applyFont="1"/>
    <xf numFmtId="164" fontId="17" fillId="0" borderId="0" xfId="10" applyNumberFormat="1" applyFont="1"/>
    <xf numFmtId="164" fontId="8" fillId="5" borderId="0" xfId="10" applyNumberFormat="1" applyFont="1" applyFill="1"/>
    <xf numFmtId="0" fontId="8" fillId="0" borderId="7" xfId="9" applyBorder="1"/>
    <xf numFmtId="170" fontId="8" fillId="0" borderId="0" xfId="11" applyNumberFormat="1"/>
    <xf numFmtId="164" fontId="8" fillId="0" borderId="0" xfId="9" applyNumberFormat="1"/>
    <xf numFmtId="164" fontId="9" fillId="0" borderId="10" xfId="9" applyNumberFormat="1" applyFont="1" applyBorder="1"/>
    <xf numFmtId="164" fontId="9" fillId="0" borderId="11" xfId="9" applyNumberFormat="1" applyFont="1" applyBorder="1"/>
    <xf numFmtId="164" fontId="9" fillId="0" borderId="3" xfId="10" applyNumberFormat="1" applyFont="1" applyBorder="1"/>
    <xf numFmtId="164" fontId="9" fillId="0" borderId="0" xfId="10" applyNumberFormat="1" applyFont="1" applyBorder="1"/>
    <xf numFmtId="169" fontId="8" fillId="0" borderId="0" xfId="11" applyFill="1"/>
    <xf numFmtId="169" fontId="9" fillId="0" borderId="0" xfId="11" applyFont="1"/>
    <xf numFmtId="169" fontId="8" fillId="6" borderId="0" xfId="11" applyFill="1"/>
    <xf numFmtId="44" fontId="9" fillId="0" borderId="0" xfId="12" applyNumberFormat="1" applyFont="1"/>
    <xf numFmtId="44" fontId="8" fillId="0" borderId="3" xfId="12" applyNumberFormat="1" applyBorder="1"/>
    <xf numFmtId="44" fontId="8" fillId="0" borderId="0" xfId="12" applyNumberFormat="1"/>
    <xf numFmtId="44" fontId="8" fillId="0" borderId="0" xfId="12" applyNumberFormat="1" applyFill="1"/>
    <xf numFmtId="44" fontId="8" fillId="0" borderId="0" xfId="13"/>
    <xf numFmtId="44" fontId="8" fillId="0" borderId="0" xfId="12" applyNumberFormat="1" applyFont="1" applyFill="1"/>
    <xf numFmtId="44" fontId="9" fillId="0" borderId="0" xfId="12" applyNumberFormat="1" applyFont="1" applyFill="1"/>
    <xf numFmtId="164" fontId="8" fillId="0" borderId="0" xfId="10" applyNumberFormat="1" applyBorder="1"/>
    <xf numFmtId="3" fontId="18" fillId="0" borderId="0" xfId="0" applyNumberFormat="1" applyFont="1"/>
    <xf numFmtId="3" fontId="8" fillId="0" borderId="0" xfId="9" applyNumberFormat="1"/>
    <xf numFmtId="164" fontId="9" fillId="5" borderId="0" xfId="0" applyNumberFormat="1" applyFont="1" applyFill="1"/>
    <xf numFmtId="164" fontId="9" fillId="0" borderId="0" xfId="10" applyNumberFormat="1" applyFont="1"/>
    <xf numFmtId="164" fontId="9" fillId="0" borderId="0" xfId="10" applyNumberFormat="1" applyFont="1" applyFill="1" applyBorder="1"/>
    <xf numFmtId="164" fontId="9" fillId="0" borderId="0" xfId="9" applyNumberFormat="1" applyFont="1"/>
    <xf numFmtId="164" fontId="13" fillId="0" borderId="0" xfId="10" applyNumberFormat="1" applyFont="1"/>
    <xf numFmtId="164" fontId="8" fillId="0" borderId="0" xfId="9" applyNumberFormat="1" applyFill="1"/>
    <xf numFmtId="172" fontId="8" fillId="0" borderId="0" xfId="12" applyNumberFormat="1"/>
    <xf numFmtId="10" fontId="8" fillId="7" borderId="0" xfId="2" applyNumberFormat="1" applyFont="1" applyFill="1"/>
    <xf numFmtId="164" fontId="9" fillId="5" borderId="10" xfId="10" applyNumberFormat="1" applyFont="1" applyFill="1" applyBorder="1"/>
    <xf numFmtId="167" fontId="21" fillId="5" borderId="0" xfId="8" applyNumberFormat="1" applyFont="1" applyFill="1"/>
    <xf numFmtId="167" fontId="21" fillId="0" borderId="0" xfId="8" applyNumberFormat="1" applyFont="1"/>
    <xf numFmtId="167" fontId="22" fillId="0" borderId="0" xfId="8" applyNumberFormat="1" applyFont="1"/>
    <xf numFmtId="167" fontId="21" fillId="0" borderId="3" xfId="8" applyNumberFormat="1" applyFont="1" applyBorder="1"/>
    <xf numFmtId="44" fontId="13" fillId="0" borderId="0" xfId="8" applyFont="1"/>
    <xf numFmtId="167" fontId="22" fillId="0" borderId="0" xfId="8" applyNumberFormat="1" applyFont="1" applyFill="1"/>
    <xf numFmtId="167" fontId="21" fillId="0" borderId="0" xfId="8" applyNumberFormat="1" applyFont="1" applyBorder="1"/>
    <xf numFmtId="167" fontId="22" fillId="0" borderId="3" xfId="8" applyNumberFormat="1" applyFont="1" applyBorder="1"/>
    <xf numFmtId="167" fontId="21" fillId="0" borderId="2" xfId="8" applyNumberFormat="1" applyFont="1" applyBorder="1"/>
    <xf numFmtId="167" fontId="21" fillId="7" borderId="3" xfId="8" applyNumberFormat="1" applyFont="1" applyFill="1" applyBorder="1"/>
    <xf numFmtId="10" fontId="0" fillId="0" borderId="0" xfId="2" applyNumberFormat="1" applyFont="1"/>
    <xf numFmtId="165" fontId="0" fillId="4" borderId="12" xfId="2" applyNumberFormat="1" applyFont="1" applyFill="1" applyBorder="1" applyAlignment="1">
      <alignment horizontal="center"/>
    </xf>
    <xf numFmtId="44" fontId="0" fillId="0" borderId="13" xfId="8" applyFont="1" applyBorder="1"/>
    <xf numFmtId="0" fontId="9" fillId="0" borderId="0" xfId="9" applyFont="1" applyAlignment="1"/>
    <xf numFmtId="0" fontId="24" fillId="0" borderId="0" xfId="14" applyNumberFormat="1" applyFont="1" applyFill="1" applyAlignment="1">
      <alignment horizontal="right"/>
    </xf>
    <xf numFmtId="173" fontId="1" fillId="4" borderId="12" xfId="2" applyNumberFormat="1" applyFont="1" applyFill="1" applyBorder="1" applyAlignment="1"/>
    <xf numFmtId="0" fontId="24" fillId="0" borderId="0" xfId="14" applyNumberFormat="1" applyFont="1" applyFill="1" applyBorder="1" applyAlignment="1">
      <alignment horizontal="right"/>
    </xf>
    <xf numFmtId="173" fontId="24" fillId="0" borderId="0" xfId="14" applyNumberFormat="1" applyFont="1" applyFill="1"/>
    <xf numFmtId="168" fontId="0" fillId="0" borderId="12" xfId="0" applyNumberFormat="1" applyBorder="1" applyAlignment="1">
      <alignment horizontal="center"/>
    </xf>
    <xf numFmtId="0" fontId="0" fillId="9" borderId="12" xfId="0" applyFill="1" applyBorder="1"/>
  </cellXfs>
  <cellStyles count="15">
    <cellStyle name="Comma" xfId="1" builtinId="3"/>
    <cellStyle name="Comma 7" xfId="5"/>
    <cellStyle name="Comma_183 rate case disposal inc comm values-7.16.04" xfId="10"/>
    <cellStyle name="Comma_Eastside 2009 RC Disposal Model-0908_0809 v2" xfId="11"/>
    <cellStyle name="Currency" xfId="8" builtinId="4"/>
    <cellStyle name="Currency 7" xfId="7"/>
    <cellStyle name="Currency_183 rate case disposal inc comm values-7.16.04" xfId="13"/>
    <cellStyle name="Currency_Eastside 2009 RC Disposal Model-0908_0809 v2" xfId="12"/>
    <cellStyle name="Normal" xfId="0" builtinId="0"/>
    <cellStyle name="Normal 6" xfId="3"/>
    <cellStyle name="Normal_CostStudyTCII" xfId="14"/>
    <cellStyle name="Normal_Eastside 2009 RC Disposal Model-0908_0809 v2" xfId="9"/>
    <cellStyle name="Note 6" xfId="4"/>
    <cellStyle name="Percent" xfId="2" builtinId="5"/>
    <cellStyle name="Percent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istrict\WUTC%20Files\Rate%20Cases%20-%20Pre%202015%20&amp;%20Post%202015%20Payroll\Pre%202015\Lynnwood\Lynnwood%20Rate%20case%202014.2\06.12.14%20Staff%20WUTC%20Model%20-%20Lynnwood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-12 Financial"/>
      <sheetName val="Cap Struct."/>
      <sheetName val="Combined LG"/>
      <sheetName val="LG Garbage"/>
      <sheetName val=" LG recycle"/>
      <sheetName val="LG Yardwaste"/>
      <sheetName val="LG MF Recycle"/>
      <sheetName val="StatsSummary"/>
      <sheetName val="Income Statement"/>
      <sheetName val="2012"/>
      <sheetName val="Adj - Restating"/>
      <sheetName val="Adj - Proforma"/>
      <sheetName val="Depreciation"/>
      <sheetName val="Findings "/>
      <sheetName val="Proforma"/>
      <sheetName val="ContComp Repair"/>
      <sheetName val="Matrix"/>
      <sheetName val="COS"/>
      <sheetName val="Meeks"/>
      <sheetName val="Matrix (Rec)"/>
      <sheetName val="COS (Rec)"/>
      <sheetName val="Matrix (YW)"/>
      <sheetName val="COS (YW)"/>
      <sheetName val="Price Out Summary"/>
      <sheetName val="Resi Price Out"/>
      <sheetName val="Comm Price Out"/>
      <sheetName val="MF Recy Price Out"/>
      <sheetName val="Summary"/>
      <sheetName val="Drop Box Price Out"/>
      <sheetName val="WUTC Revenue"/>
      <sheetName val="Disposal"/>
      <sheetName val="Yardwaste Analysis"/>
      <sheetName val="Roll Off Average Cost"/>
      <sheetName val="Fuel PF Adj"/>
      <sheetName val="Fuel Detail"/>
      <sheetName val="Cont Summ"/>
      <sheetName val="Roll-off Stats"/>
      <sheetName val="Comm Stats"/>
      <sheetName val="Resi Stats"/>
      <sheetName val="Targeted Exp"/>
      <sheetName val="FacMaintRepair"/>
      <sheetName val="New Equip"/>
      <sheetName val="LeaseRent"/>
      <sheetName val="MatrixtoProForma"/>
      <sheetName val="Consulting"/>
      <sheetName val="Corp Ins"/>
      <sheetName val="Disposalcost"/>
      <sheetName val="MgtFee"/>
      <sheetName val="CedarGroveInvo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C3" t="str">
            <v>Lynnwood</v>
          </cell>
        </row>
      </sheetData>
      <sheetData sheetId="8">
        <row r="52">
          <cell r="C52">
            <v>426272</v>
          </cell>
          <cell r="D52">
            <v>435928</v>
          </cell>
          <cell r="E52">
            <v>478493</v>
          </cell>
          <cell r="F52">
            <v>448194</v>
          </cell>
          <cell r="G52">
            <v>443357</v>
          </cell>
          <cell r="H52">
            <v>476637</v>
          </cell>
          <cell r="I52">
            <v>411277</v>
          </cell>
          <cell r="J52">
            <v>462793</v>
          </cell>
          <cell r="K52">
            <v>463782</v>
          </cell>
          <cell r="L52">
            <v>396032</v>
          </cell>
          <cell r="M52">
            <v>373230</v>
          </cell>
          <cell r="N52">
            <v>440262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-5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39227</v>
          </cell>
          <cell r="D54">
            <v>94115</v>
          </cell>
          <cell r="E54">
            <v>57442</v>
          </cell>
          <cell r="F54">
            <v>50739</v>
          </cell>
          <cell r="G54">
            <v>46970</v>
          </cell>
          <cell r="H54">
            <v>94961</v>
          </cell>
          <cell r="I54">
            <v>77498</v>
          </cell>
          <cell r="J54">
            <v>90865</v>
          </cell>
          <cell r="K54">
            <v>65748</v>
          </cell>
          <cell r="L54">
            <v>34923</v>
          </cell>
          <cell r="M54">
            <v>12566</v>
          </cell>
          <cell r="N54">
            <v>36040</v>
          </cell>
        </row>
        <row r="55">
          <cell r="C55">
            <v>82835</v>
          </cell>
          <cell r="D55">
            <v>71546</v>
          </cell>
          <cell r="E55">
            <v>80667</v>
          </cell>
          <cell r="F55">
            <v>83207</v>
          </cell>
          <cell r="G55">
            <v>78649</v>
          </cell>
          <cell r="H55">
            <v>94979</v>
          </cell>
          <cell r="I55">
            <v>86946</v>
          </cell>
          <cell r="J55">
            <v>92841</v>
          </cell>
          <cell r="K55">
            <v>90823</v>
          </cell>
          <cell r="L55">
            <v>82680</v>
          </cell>
          <cell r="M55">
            <v>79208</v>
          </cell>
          <cell r="N55">
            <v>99494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1">
          <cell r="O21">
            <v>34.012301043953777</v>
          </cell>
        </row>
      </sheetData>
      <sheetData sheetId="32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showGridLines="0" tabSelected="1" workbookViewId="0">
      <selection activeCell="G10" sqref="G10"/>
    </sheetView>
  </sheetViews>
  <sheetFormatPr defaultRowHeight="15"/>
  <cols>
    <col min="1" max="1" width="25.28515625" bestFit="1" customWidth="1"/>
    <col min="2" max="4" width="10.7109375" customWidth="1"/>
    <col min="5" max="5" width="11.5703125" bestFit="1" customWidth="1"/>
    <col min="6" max="7" width="13" customWidth="1"/>
    <col min="8" max="8" width="14" bestFit="1" customWidth="1"/>
  </cols>
  <sheetData>
    <row r="3" spans="1:8">
      <c r="A3" t="s">
        <v>246</v>
      </c>
      <c r="B3" s="29" t="s">
        <v>241</v>
      </c>
      <c r="C3" s="29" t="s">
        <v>242</v>
      </c>
      <c r="D3" s="29" t="s">
        <v>243</v>
      </c>
    </row>
    <row r="4" spans="1:8">
      <c r="A4" s="32" t="s">
        <v>240</v>
      </c>
      <c r="B4" s="30">
        <v>9.75</v>
      </c>
      <c r="C4" s="30">
        <v>11</v>
      </c>
      <c r="D4" s="30">
        <v>13</v>
      </c>
    </row>
    <row r="5" spans="1:8">
      <c r="A5" s="32" t="s">
        <v>244</v>
      </c>
      <c r="B5" s="30">
        <f>18140.27/1263.25</f>
        <v>14.360000000000001</v>
      </c>
      <c r="C5" s="30">
        <f>21168.89/1299.5</f>
        <v>16.290026933435936</v>
      </c>
      <c r="D5" s="31">
        <f>D4*(1+B17)</f>
        <v>19.253</v>
      </c>
    </row>
    <row r="6" spans="1:8">
      <c r="A6" s="32" t="s">
        <v>245</v>
      </c>
      <c r="B6" s="33">
        <f>+B5/B4-1</f>
        <v>0.47282051282051296</v>
      </c>
      <c r="C6" s="33">
        <f>+C5/C4-1</f>
        <v>0.48091153940326681</v>
      </c>
      <c r="D6" s="34">
        <f>+D5/D4-1</f>
        <v>0.48100000000000009</v>
      </c>
    </row>
    <row r="8" spans="1:8">
      <c r="A8" t="s">
        <v>247</v>
      </c>
      <c r="B8" s="29" t="s">
        <v>241</v>
      </c>
      <c r="C8" s="29" t="s">
        <v>242</v>
      </c>
      <c r="D8" s="29" t="s">
        <v>243</v>
      </c>
    </row>
    <row r="9" spans="1:8">
      <c r="A9" s="32" t="s">
        <v>240</v>
      </c>
      <c r="B9" s="30">
        <f>B4*1.5</f>
        <v>14.625</v>
      </c>
      <c r="C9" s="30">
        <f>C4*1.5</f>
        <v>16.5</v>
      </c>
      <c r="D9" s="30">
        <f>D4*1.5</f>
        <v>19.5</v>
      </c>
    </row>
    <row r="10" spans="1:8">
      <c r="A10" s="32" t="s">
        <v>244</v>
      </c>
      <c r="B10" s="30">
        <f>4674.38/226.25</f>
        <v>20.660243093922652</v>
      </c>
      <c r="C10" s="30">
        <f>1395.37/59.25</f>
        <v>23.55054852320675</v>
      </c>
      <c r="D10" s="31">
        <f>D9*(1+B18)</f>
        <v>27.826499999999999</v>
      </c>
    </row>
    <row r="11" spans="1:8">
      <c r="A11" s="32" t="s">
        <v>245</v>
      </c>
      <c r="B11" s="33">
        <f>+B10/B9-1</f>
        <v>0.41266619445624975</v>
      </c>
      <c r="C11" s="33">
        <f>+C10/C9-1</f>
        <v>0.42730597110343949</v>
      </c>
      <c r="D11" s="34">
        <f>+D10/D9-1</f>
        <v>0.42700000000000005</v>
      </c>
    </row>
    <row r="12" spans="1:8">
      <c r="G12" s="25"/>
    </row>
    <row r="13" spans="1:8">
      <c r="F13" s="29" t="s">
        <v>238</v>
      </c>
      <c r="G13" s="29" t="s">
        <v>236</v>
      </c>
      <c r="H13" s="29" t="s">
        <v>237</v>
      </c>
    </row>
    <row r="14" spans="1:8">
      <c r="D14" s="36" t="s">
        <v>234</v>
      </c>
      <c r="E14" s="4">
        <f>'Wage Summary'!C21</f>
        <v>149033.80555555556</v>
      </c>
      <c r="F14" s="28">
        <f>B5</f>
        <v>14.360000000000001</v>
      </c>
      <c r="G14" s="35">
        <f>D5</f>
        <v>19.253</v>
      </c>
      <c r="H14" s="26">
        <f>(G14-F14)*E14</f>
        <v>729222.41058333323</v>
      </c>
    </row>
    <row r="15" spans="1:8">
      <c r="D15" s="36" t="s">
        <v>235</v>
      </c>
      <c r="E15" s="4">
        <f>'Wage Summary'!C22</f>
        <v>18661.138888888891</v>
      </c>
      <c r="F15" s="28">
        <f>B10</f>
        <v>20.660243093922652</v>
      </c>
      <c r="G15" s="28">
        <f>D10</f>
        <v>27.826499999999999</v>
      </c>
      <c r="H15" s="26">
        <f>(G15-F15)*E15</f>
        <v>133730.51543776857</v>
      </c>
    </row>
    <row r="16" spans="1:8">
      <c r="A16" t="s">
        <v>285</v>
      </c>
      <c r="H16" s="27">
        <f>SUM(H14:H15)</f>
        <v>862952.92602110177</v>
      </c>
    </row>
    <row r="17" spans="1:9">
      <c r="A17" s="128" t="s">
        <v>286</v>
      </c>
      <c r="B17" s="129">
        <v>0.48099999999999998</v>
      </c>
    </row>
    <row r="18" spans="1:9">
      <c r="A18" t="s">
        <v>287</v>
      </c>
      <c r="B18" s="129">
        <v>0.42699999999999999</v>
      </c>
      <c r="G18" s="36" t="s">
        <v>248</v>
      </c>
      <c r="H18" s="23">
        <f>SUM('MRF Tonnage'!$D$259:$O$259)</f>
        <v>209710</v>
      </c>
    </row>
    <row r="20" spans="1:9">
      <c r="G20" s="36" t="s">
        <v>249</v>
      </c>
      <c r="H20" s="24">
        <f>+H16/H18</f>
        <v>4.1149822422445368</v>
      </c>
    </row>
    <row r="22" spans="1:9">
      <c r="A22" s="132" t="s">
        <v>288</v>
      </c>
      <c r="B22" s="133">
        <v>1.4999999999999999E-2</v>
      </c>
      <c r="G22" s="36" t="s">
        <v>282</v>
      </c>
      <c r="H22" s="23">
        <f>'4197 Tonnage'!R38</f>
        <v>6141.7544426117001</v>
      </c>
    </row>
    <row r="23" spans="1:9">
      <c r="A23" s="134" t="s">
        <v>289</v>
      </c>
      <c r="B23" s="133">
        <v>4.2750000000000002E-3</v>
      </c>
    </row>
    <row r="24" spans="1:9">
      <c r="A24" s="132" t="s">
        <v>290</v>
      </c>
      <c r="B24" s="135">
        <f>SUM(B22:B23)</f>
        <v>1.9275E-2</v>
      </c>
      <c r="G24" s="36" t="s">
        <v>283</v>
      </c>
      <c r="H24" s="28">
        <f>+H22*H20</f>
        <v>25273.210467573641</v>
      </c>
    </row>
    <row r="26" spans="1:9">
      <c r="G26" s="36" t="s">
        <v>291</v>
      </c>
      <c r="H26" s="26">
        <f>+H24*B24</f>
        <v>487.14113176248196</v>
      </c>
      <c r="I26" s="23"/>
    </row>
    <row r="28" spans="1:9">
      <c r="G28" s="36" t="s">
        <v>292</v>
      </c>
      <c r="H28" s="27">
        <f>SUM(H24:H27)</f>
        <v>25760.351599336122</v>
      </c>
    </row>
    <row r="30" spans="1:9">
      <c r="G30" s="36" t="s">
        <v>284</v>
      </c>
      <c r="H30" s="23">
        <v>17111</v>
      </c>
    </row>
    <row r="32" spans="1:9" ht="15.75" thickBot="1">
      <c r="G32" s="36" t="s">
        <v>250</v>
      </c>
      <c r="H32" s="130">
        <f>+H28/12/H30</f>
        <v>0.1254570724452892</v>
      </c>
    </row>
    <row r="33" spans="6:8" ht="15.75" thickTop="1"/>
    <row r="35" spans="6:8">
      <c r="G35" s="137" t="s">
        <v>236</v>
      </c>
      <c r="H35" s="137" t="s">
        <v>295</v>
      </c>
    </row>
    <row r="36" spans="6:8">
      <c r="F36" t="s">
        <v>293</v>
      </c>
      <c r="G36" s="136">
        <v>6.9</v>
      </c>
      <c r="H36" s="136">
        <f>+G36+$H$32</f>
        <v>7.0254570724452892</v>
      </c>
    </row>
    <row r="37" spans="6:8">
      <c r="F37" t="s">
        <v>294</v>
      </c>
      <c r="G37" s="136">
        <v>6.9</v>
      </c>
      <c r="H37" s="136">
        <f>+G37+$H$32</f>
        <v>7.0254570724452892</v>
      </c>
    </row>
  </sheetData>
  <pageMargins left="0.7" right="0.7" top="0.75" bottom="0.75" header="0.3" footer="0.3"/>
  <pageSetup paperSize="9" scale="9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69"/>
  <sheetViews>
    <sheetView topLeftCell="A24" workbookViewId="0">
      <selection activeCell="G10" sqref="G10"/>
    </sheetView>
  </sheetViews>
  <sheetFormatPr defaultColWidth="9.140625" defaultRowHeight="12.75" outlineLevelRow="1"/>
  <cols>
    <col min="1" max="1" width="2.7109375" style="38" customWidth="1"/>
    <col min="2" max="2" width="4.42578125" style="38" customWidth="1"/>
    <col min="3" max="3" width="3.5703125" style="38" customWidth="1"/>
    <col min="4" max="4" width="12" style="38" customWidth="1"/>
    <col min="5" max="5" width="9.140625" style="38" customWidth="1"/>
    <col min="6" max="6" width="10" style="38" customWidth="1"/>
    <col min="7" max="7" width="11.7109375" style="38" customWidth="1"/>
    <col min="8" max="17" width="10" style="38" customWidth="1"/>
    <col min="18" max="18" width="12" style="38" customWidth="1"/>
    <col min="19" max="19" width="13.5703125" style="38" bestFit="1" customWidth="1"/>
    <col min="20" max="20" width="10.28515625" style="38" bestFit="1" customWidth="1"/>
    <col min="21" max="256" width="9.140625" style="38"/>
    <col min="257" max="257" width="2.7109375" style="38" customWidth="1"/>
    <col min="258" max="258" width="4.42578125" style="38" customWidth="1"/>
    <col min="259" max="259" width="3.5703125" style="38" customWidth="1"/>
    <col min="260" max="260" width="12" style="38" customWidth="1"/>
    <col min="261" max="261" width="9.140625" style="38" customWidth="1"/>
    <col min="262" max="262" width="10" style="38" customWidth="1"/>
    <col min="263" max="263" width="11.7109375" style="38" customWidth="1"/>
    <col min="264" max="273" width="10" style="38" customWidth="1"/>
    <col min="274" max="274" width="12" style="38" customWidth="1"/>
    <col min="275" max="275" width="13.5703125" style="38" bestFit="1" customWidth="1"/>
    <col min="276" max="276" width="10.28515625" style="38" bestFit="1" customWidth="1"/>
    <col min="277" max="512" width="9.140625" style="38"/>
    <col min="513" max="513" width="2.7109375" style="38" customWidth="1"/>
    <col min="514" max="514" width="4.42578125" style="38" customWidth="1"/>
    <col min="515" max="515" width="3.5703125" style="38" customWidth="1"/>
    <col min="516" max="516" width="12" style="38" customWidth="1"/>
    <col min="517" max="517" width="9.140625" style="38" customWidth="1"/>
    <col min="518" max="518" width="10" style="38" customWidth="1"/>
    <col min="519" max="519" width="11.7109375" style="38" customWidth="1"/>
    <col min="520" max="529" width="10" style="38" customWidth="1"/>
    <col min="530" max="530" width="12" style="38" customWidth="1"/>
    <col min="531" max="531" width="13.5703125" style="38" bestFit="1" customWidth="1"/>
    <col min="532" max="532" width="10.28515625" style="38" bestFit="1" customWidth="1"/>
    <col min="533" max="768" width="9.140625" style="38"/>
    <col min="769" max="769" width="2.7109375" style="38" customWidth="1"/>
    <col min="770" max="770" width="4.42578125" style="38" customWidth="1"/>
    <col min="771" max="771" width="3.5703125" style="38" customWidth="1"/>
    <col min="772" max="772" width="12" style="38" customWidth="1"/>
    <col min="773" max="773" width="9.140625" style="38" customWidth="1"/>
    <col min="774" max="774" width="10" style="38" customWidth="1"/>
    <col min="775" max="775" width="11.7109375" style="38" customWidth="1"/>
    <col min="776" max="785" width="10" style="38" customWidth="1"/>
    <col min="786" max="786" width="12" style="38" customWidth="1"/>
    <col min="787" max="787" width="13.5703125" style="38" bestFit="1" customWidth="1"/>
    <col min="788" max="788" width="10.28515625" style="38" bestFit="1" customWidth="1"/>
    <col min="789" max="1024" width="9.140625" style="38"/>
    <col min="1025" max="1025" width="2.7109375" style="38" customWidth="1"/>
    <col min="1026" max="1026" width="4.42578125" style="38" customWidth="1"/>
    <col min="1027" max="1027" width="3.5703125" style="38" customWidth="1"/>
    <col min="1028" max="1028" width="12" style="38" customWidth="1"/>
    <col min="1029" max="1029" width="9.140625" style="38" customWidth="1"/>
    <col min="1030" max="1030" width="10" style="38" customWidth="1"/>
    <col min="1031" max="1031" width="11.7109375" style="38" customWidth="1"/>
    <col min="1032" max="1041" width="10" style="38" customWidth="1"/>
    <col min="1042" max="1042" width="12" style="38" customWidth="1"/>
    <col min="1043" max="1043" width="13.5703125" style="38" bestFit="1" customWidth="1"/>
    <col min="1044" max="1044" width="10.28515625" style="38" bestFit="1" customWidth="1"/>
    <col min="1045" max="1280" width="9.140625" style="38"/>
    <col min="1281" max="1281" width="2.7109375" style="38" customWidth="1"/>
    <col min="1282" max="1282" width="4.42578125" style="38" customWidth="1"/>
    <col min="1283" max="1283" width="3.5703125" style="38" customWidth="1"/>
    <col min="1284" max="1284" width="12" style="38" customWidth="1"/>
    <col min="1285" max="1285" width="9.140625" style="38" customWidth="1"/>
    <col min="1286" max="1286" width="10" style="38" customWidth="1"/>
    <col min="1287" max="1287" width="11.7109375" style="38" customWidth="1"/>
    <col min="1288" max="1297" width="10" style="38" customWidth="1"/>
    <col min="1298" max="1298" width="12" style="38" customWidth="1"/>
    <col min="1299" max="1299" width="13.5703125" style="38" bestFit="1" customWidth="1"/>
    <col min="1300" max="1300" width="10.28515625" style="38" bestFit="1" customWidth="1"/>
    <col min="1301" max="1536" width="9.140625" style="38"/>
    <col min="1537" max="1537" width="2.7109375" style="38" customWidth="1"/>
    <col min="1538" max="1538" width="4.42578125" style="38" customWidth="1"/>
    <col min="1539" max="1539" width="3.5703125" style="38" customWidth="1"/>
    <col min="1540" max="1540" width="12" style="38" customWidth="1"/>
    <col min="1541" max="1541" width="9.140625" style="38" customWidth="1"/>
    <col min="1542" max="1542" width="10" style="38" customWidth="1"/>
    <col min="1543" max="1543" width="11.7109375" style="38" customWidth="1"/>
    <col min="1544" max="1553" width="10" style="38" customWidth="1"/>
    <col min="1554" max="1554" width="12" style="38" customWidth="1"/>
    <col min="1555" max="1555" width="13.5703125" style="38" bestFit="1" customWidth="1"/>
    <col min="1556" max="1556" width="10.28515625" style="38" bestFit="1" customWidth="1"/>
    <col min="1557" max="1792" width="9.140625" style="38"/>
    <col min="1793" max="1793" width="2.7109375" style="38" customWidth="1"/>
    <col min="1794" max="1794" width="4.42578125" style="38" customWidth="1"/>
    <col min="1795" max="1795" width="3.5703125" style="38" customWidth="1"/>
    <col min="1796" max="1796" width="12" style="38" customWidth="1"/>
    <col min="1797" max="1797" width="9.140625" style="38" customWidth="1"/>
    <col min="1798" max="1798" width="10" style="38" customWidth="1"/>
    <col min="1799" max="1799" width="11.7109375" style="38" customWidth="1"/>
    <col min="1800" max="1809" width="10" style="38" customWidth="1"/>
    <col min="1810" max="1810" width="12" style="38" customWidth="1"/>
    <col min="1811" max="1811" width="13.5703125" style="38" bestFit="1" customWidth="1"/>
    <col min="1812" max="1812" width="10.28515625" style="38" bestFit="1" customWidth="1"/>
    <col min="1813" max="2048" width="9.140625" style="38"/>
    <col min="2049" max="2049" width="2.7109375" style="38" customWidth="1"/>
    <col min="2050" max="2050" width="4.42578125" style="38" customWidth="1"/>
    <col min="2051" max="2051" width="3.5703125" style="38" customWidth="1"/>
    <col min="2052" max="2052" width="12" style="38" customWidth="1"/>
    <col min="2053" max="2053" width="9.140625" style="38" customWidth="1"/>
    <col min="2054" max="2054" width="10" style="38" customWidth="1"/>
    <col min="2055" max="2055" width="11.7109375" style="38" customWidth="1"/>
    <col min="2056" max="2065" width="10" style="38" customWidth="1"/>
    <col min="2066" max="2066" width="12" style="38" customWidth="1"/>
    <col min="2067" max="2067" width="13.5703125" style="38" bestFit="1" customWidth="1"/>
    <col min="2068" max="2068" width="10.28515625" style="38" bestFit="1" customWidth="1"/>
    <col min="2069" max="2304" width="9.140625" style="38"/>
    <col min="2305" max="2305" width="2.7109375" style="38" customWidth="1"/>
    <col min="2306" max="2306" width="4.42578125" style="38" customWidth="1"/>
    <col min="2307" max="2307" width="3.5703125" style="38" customWidth="1"/>
    <col min="2308" max="2308" width="12" style="38" customWidth="1"/>
    <col min="2309" max="2309" width="9.140625" style="38" customWidth="1"/>
    <col min="2310" max="2310" width="10" style="38" customWidth="1"/>
    <col min="2311" max="2311" width="11.7109375" style="38" customWidth="1"/>
    <col min="2312" max="2321" width="10" style="38" customWidth="1"/>
    <col min="2322" max="2322" width="12" style="38" customWidth="1"/>
    <col min="2323" max="2323" width="13.5703125" style="38" bestFit="1" customWidth="1"/>
    <col min="2324" max="2324" width="10.28515625" style="38" bestFit="1" customWidth="1"/>
    <col min="2325" max="2560" width="9.140625" style="38"/>
    <col min="2561" max="2561" width="2.7109375" style="38" customWidth="1"/>
    <col min="2562" max="2562" width="4.42578125" style="38" customWidth="1"/>
    <col min="2563" max="2563" width="3.5703125" style="38" customWidth="1"/>
    <col min="2564" max="2564" width="12" style="38" customWidth="1"/>
    <col min="2565" max="2565" width="9.140625" style="38" customWidth="1"/>
    <col min="2566" max="2566" width="10" style="38" customWidth="1"/>
    <col min="2567" max="2567" width="11.7109375" style="38" customWidth="1"/>
    <col min="2568" max="2577" width="10" style="38" customWidth="1"/>
    <col min="2578" max="2578" width="12" style="38" customWidth="1"/>
    <col min="2579" max="2579" width="13.5703125" style="38" bestFit="1" customWidth="1"/>
    <col min="2580" max="2580" width="10.28515625" style="38" bestFit="1" customWidth="1"/>
    <col min="2581" max="2816" width="9.140625" style="38"/>
    <col min="2817" max="2817" width="2.7109375" style="38" customWidth="1"/>
    <col min="2818" max="2818" width="4.42578125" style="38" customWidth="1"/>
    <col min="2819" max="2819" width="3.5703125" style="38" customWidth="1"/>
    <col min="2820" max="2820" width="12" style="38" customWidth="1"/>
    <col min="2821" max="2821" width="9.140625" style="38" customWidth="1"/>
    <col min="2822" max="2822" width="10" style="38" customWidth="1"/>
    <col min="2823" max="2823" width="11.7109375" style="38" customWidth="1"/>
    <col min="2824" max="2833" width="10" style="38" customWidth="1"/>
    <col min="2834" max="2834" width="12" style="38" customWidth="1"/>
    <col min="2835" max="2835" width="13.5703125" style="38" bestFit="1" customWidth="1"/>
    <col min="2836" max="2836" width="10.28515625" style="38" bestFit="1" customWidth="1"/>
    <col min="2837" max="3072" width="9.140625" style="38"/>
    <col min="3073" max="3073" width="2.7109375" style="38" customWidth="1"/>
    <col min="3074" max="3074" width="4.42578125" style="38" customWidth="1"/>
    <col min="3075" max="3075" width="3.5703125" style="38" customWidth="1"/>
    <col min="3076" max="3076" width="12" style="38" customWidth="1"/>
    <col min="3077" max="3077" width="9.140625" style="38" customWidth="1"/>
    <col min="3078" max="3078" width="10" style="38" customWidth="1"/>
    <col min="3079" max="3079" width="11.7109375" style="38" customWidth="1"/>
    <col min="3080" max="3089" width="10" style="38" customWidth="1"/>
    <col min="3090" max="3090" width="12" style="38" customWidth="1"/>
    <col min="3091" max="3091" width="13.5703125" style="38" bestFit="1" customWidth="1"/>
    <col min="3092" max="3092" width="10.28515625" style="38" bestFit="1" customWidth="1"/>
    <col min="3093" max="3328" width="9.140625" style="38"/>
    <col min="3329" max="3329" width="2.7109375" style="38" customWidth="1"/>
    <col min="3330" max="3330" width="4.42578125" style="38" customWidth="1"/>
    <col min="3331" max="3331" width="3.5703125" style="38" customWidth="1"/>
    <col min="3332" max="3332" width="12" style="38" customWidth="1"/>
    <col min="3333" max="3333" width="9.140625" style="38" customWidth="1"/>
    <col min="3334" max="3334" width="10" style="38" customWidth="1"/>
    <col min="3335" max="3335" width="11.7109375" style="38" customWidth="1"/>
    <col min="3336" max="3345" width="10" style="38" customWidth="1"/>
    <col min="3346" max="3346" width="12" style="38" customWidth="1"/>
    <col min="3347" max="3347" width="13.5703125" style="38" bestFit="1" customWidth="1"/>
    <col min="3348" max="3348" width="10.28515625" style="38" bestFit="1" customWidth="1"/>
    <col min="3349" max="3584" width="9.140625" style="38"/>
    <col min="3585" max="3585" width="2.7109375" style="38" customWidth="1"/>
    <col min="3586" max="3586" width="4.42578125" style="38" customWidth="1"/>
    <col min="3587" max="3587" width="3.5703125" style="38" customWidth="1"/>
    <col min="3588" max="3588" width="12" style="38" customWidth="1"/>
    <col min="3589" max="3589" width="9.140625" style="38" customWidth="1"/>
    <col min="3590" max="3590" width="10" style="38" customWidth="1"/>
    <col min="3591" max="3591" width="11.7109375" style="38" customWidth="1"/>
    <col min="3592" max="3601" width="10" style="38" customWidth="1"/>
    <col min="3602" max="3602" width="12" style="38" customWidth="1"/>
    <col min="3603" max="3603" width="13.5703125" style="38" bestFit="1" customWidth="1"/>
    <col min="3604" max="3604" width="10.28515625" style="38" bestFit="1" customWidth="1"/>
    <col min="3605" max="3840" width="9.140625" style="38"/>
    <col min="3841" max="3841" width="2.7109375" style="38" customWidth="1"/>
    <col min="3842" max="3842" width="4.42578125" style="38" customWidth="1"/>
    <col min="3843" max="3843" width="3.5703125" style="38" customWidth="1"/>
    <col min="3844" max="3844" width="12" style="38" customWidth="1"/>
    <col min="3845" max="3845" width="9.140625" style="38" customWidth="1"/>
    <col min="3846" max="3846" width="10" style="38" customWidth="1"/>
    <col min="3847" max="3847" width="11.7109375" style="38" customWidth="1"/>
    <col min="3848" max="3857" width="10" style="38" customWidth="1"/>
    <col min="3858" max="3858" width="12" style="38" customWidth="1"/>
    <col min="3859" max="3859" width="13.5703125" style="38" bestFit="1" customWidth="1"/>
    <col min="3860" max="3860" width="10.28515625" style="38" bestFit="1" customWidth="1"/>
    <col min="3861" max="4096" width="9.140625" style="38"/>
    <col min="4097" max="4097" width="2.7109375" style="38" customWidth="1"/>
    <col min="4098" max="4098" width="4.42578125" style="38" customWidth="1"/>
    <col min="4099" max="4099" width="3.5703125" style="38" customWidth="1"/>
    <col min="4100" max="4100" width="12" style="38" customWidth="1"/>
    <col min="4101" max="4101" width="9.140625" style="38" customWidth="1"/>
    <col min="4102" max="4102" width="10" style="38" customWidth="1"/>
    <col min="4103" max="4103" width="11.7109375" style="38" customWidth="1"/>
    <col min="4104" max="4113" width="10" style="38" customWidth="1"/>
    <col min="4114" max="4114" width="12" style="38" customWidth="1"/>
    <col min="4115" max="4115" width="13.5703125" style="38" bestFit="1" customWidth="1"/>
    <col min="4116" max="4116" width="10.28515625" style="38" bestFit="1" customWidth="1"/>
    <col min="4117" max="4352" width="9.140625" style="38"/>
    <col min="4353" max="4353" width="2.7109375" style="38" customWidth="1"/>
    <col min="4354" max="4354" width="4.42578125" style="38" customWidth="1"/>
    <col min="4355" max="4355" width="3.5703125" style="38" customWidth="1"/>
    <col min="4356" max="4356" width="12" style="38" customWidth="1"/>
    <col min="4357" max="4357" width="9.140625" style="38" customWidth="1"/>
    <col min="4358" max="4358" width="10" style="38" customWidth="1"/>
    <col min="4359" max="4359" width="11.7109375" style="38" customWidth="1"/>
    <col min="4360" max="4369" width="10" style="38" customWidth="1"/>
    <col min="4370" max="4370" width="12" style="38" customWidth="1"/>
    <col min="4371" max="4371" width="13.5703125" style="38" bestFit="1" customWidth="1"/>
    <col min="4372" max="4372" width="10.28515625" style="38" bestFit="1" customWidth="1"/>
    <col min="4373" max="4608" width="9.140625" style="38"/>
    <col min="4609" max="4609" width="2.7109375" style="38" customWidth="1"/>
    <col min="4610" max="4610" width="4.42578125" style="38" customWidth="1"/>
    <col min="4611" max="4611" width="3.5703125" style="38" customWidth="1"/>
    <col min="4612" max="4612" width="12" style="38" customWidth="1"/>
    <col min="4613" max="4613" width="9.140625" style="38" customWidth="1"/>
    <col min="4614" max="4614" width="10" style="38" customWidth="1"/>
    <col min="4615" max="4615" width="11.7109375" style="38" customWidth="1"/>
    <col min="4616" max="4625" width="10" style="38" customWidth="1"/>
    <col min="4626" max="4626" width="12" style="38" customWidth="1"/>
    <col min="4627" max="4627" width="13.5703125" style="38" bestFit="1" customWidth="1"/>
    <col min="4628" max="4628" width="10.28515625" style="38" bestFit="1" customWidth="1"/>
    <col min="4629" max="4864" width="9.140625" style="38"/>
    <col min="4865" max="4865" width="2.7109375" style="38" customWidth="1"/>
    <col min="4866" max="4866" width="4.42578125" style="38" customWidth="1"/>
    <col min="4867" max="4867" width="3.5703125" style="38" customWidth="1"/>
    <col min="4868" max="4868" width="12" style="38" customWidth="1"/>
    <col min="4869" max="4869" width="9.140625" style="38" customWidth="1"/>
    <col min="4870" max="4870" width="10" style="38" customWidth="1"/>
    <col min="4871" max="4871" width="11.7109375" style="38" customWidth="1"/>
    <col min="4872" max="4881" width="10" style="38" customWidth="1"/>
    <col min="4882" max="4882" width="12" style="38" customWidth="1"/>
    <col min="4883" max="4883" width="13.5703125" style="38" bestFit="1" customWidth="1"/>
    <col min="4884" max="4884" width="10.28515625" style="38" bestFit="1" customWidth="1"/>
    <col min="4885" max="5120" width="9.140625" style="38"/>
    <col min="5121" max="5121" width="2.7109375" style="38" customWidth="1"/>
    <col min="5122" max="5122" width="4.42578125" style="38" customWidth="1"/>
    <col min="5123" max="5123" width="3.5703125" style="38" customWidth="1"/>
    <col min="5124" max="5124" width="12" style="38" customWidth="1"/>
    <col min="5125" max="5125" width="9.140625" style="38" customWidth="1"/>
    <col min="5126" max="5126" width="10" style="38" customWidth="1"/>
    <col min="5127" max="5127" width="11.7109375" style="38" customWidth="1"/>
    <col min="5128" max="5137" width="10" style="38" customWidth="1"/>
    <col min="5138" max="5138" width="12" style="38" customWidth="1"/>
    <col min="5139" max="5139" width="13.5703125" style="38" bestFit="1" customWidth="1"/>
    <col min="5140" max="5140" width="10.28515625" style="38" bestFit="1" customWidth="1"/>
    <col min="5141" max="5376" width="9.140625" style="38"/>
    <col min="5377" max="5377" width="2.7109375" style="38" customWidth="1"/>
    <col min="5378" max="5378" width="4.42578125" style="38" customWidth="1"/>
    <col min="5379" max="5379" width="3.5703125" style="38" customWidth="1"/>
    <col min="5380" max="5380" width="12" style="38" customWidth="1"/>
    <col min="5381" max="5381" width="9.140625" style="38" customWidth="1"/>
    <col min="5382" max="5382" width="10" style="38" customWidth="1"/>
    <col min="5383" max="5383" width="11.7109375" style="38" customWidth="1"/>
    <col min="5384" max="5393" width="10" style="38" customWidth="1"/>
    <col min="5394" max="5394" width="12" style="38" customWidth="1"/>
    <col min="5395" max="5395" width="13.5703125" style="38" bestFit="1" customWidth="1"/>
    <col min="5396" max="5396" width="10.28515625" style="38" bestFit="1" customWidth="1"/>
    <col min="5397" max="5632" width="9.140625" style="38"/>
    <col min="5633" max="5633" width="2.7109375" style="38" customWidth="1"/>
    <col min="5634" max="5634" width="4.42578125" style="38" customWidth="1"/>
    <col min="5635" max="5635" width="3.5703125" style="38" customWidth="1"/>
    <col min="5636" max="5636" width="12" style="38" customWidth="1"/>
    <col min="5637" max="5637" width="9.140625" style="38" customWidth="1"/>
    <col min="5638" max="5638" width="10" style="38" customWidth="1"/>
    <col min="5639" max="5639" width="11.7109375" style="38" customWidth="1"/>
    <col min="5640" max="5649" width="10" style="38" customWidth="1"/>
    <col min="5650" max="5650" width="12" style="38" customWidth="1"/>
    <col min="5651" max="5651" width="13.5703125" style="38" bestFit="1" customWidth="1"/>
    <col min="5652" max="5652" width="10.28515625" style="38" bestFit="1" customWidth="1"/>
    <col min="5653" max="5888" width="9.140625" style="38"/>
    <col min="5889" max="5889" width="2.7109375" style="38" customWidth="1"/>
    <col min="5890" max="5890" width="4.42578125" style="38" customWidth="1"/>
    <col min="5891" max="5891" width="3.5703125" style="38" customWidth="1"/>
    <col min="5892" max="5892" width="12" style="38" customWidth="1"/>
    <col min="5893" max="5893" width="9.140625" style="38" customWidth="1"/>
    <col min="5894" max="5894" width="10" style="38" customWidth="1"/>
    <col min="5895" max="5895" width="11.7109375" style="38" customWidth="1"/>
    <col min="5896" max="5905" width="10" style="38" customWidth="1"/>
    <col min="5906" max="5906" width="12" style="38" customWidth="1"/>
    <col min="5907" max="5907" width="13.5703125" style="38" bestFit="1" customWidth="1"/>
    <col min="5908" max="5908" width="10.28515625" style="38" bestFit="1" customWidth="1"/>
    <col min="5909" max="6144" width="9.140625" style="38"/>
    <col min="6145" max="6145" width="2.7109375" style="38" customWidth="1"/>
    <col min="6146" max="6146" width="4.42578125" style="38" customWidth="1"/>
    <col min="6147" max="6147" width="3.5703125" style="38" customWidth="1"/>
    <col min="6148" max="6148" width="12" style="38" customWidth="1"/>
    <col min="6149" max="6149" width="9.140625" style="38" customWidth="1"/>
    <col min="6150" max="6150" width="10" style="38" customWidth="1"/>
    <col min="6151" max="6151" width="11.7109375" style="38" customWidth="1"/>
    <col min="6152" max="6161" width="10" style="38" customWidth="1"/>
    <col min="6162" max="6162" width="12" style="38" customWidth="1"/>
    <col min="6163" max="6163" width="13.5703125" style="38" bestFit="1" customWidth="1"/>
    <col min="6164" max="6164" width="10.28515625" style="38" bestFit="1" customWidth="1"/>
    <col min="6165" max="6400" width="9.140625" style="38"/>
    <col min="6401" max="6401" width="2.7109375" style="38" customWidth="1"/>
    <col min="6402" max="6402" width="4.42578125" style="38" customWidth="1"/>
    <col min="6403" max="6403" width="3.5703125" style="38" customWidth="1"/>
    <col min="6404" max="6404" width="12" style="38" customWidth="1"/>
    <col min="6405" max="6405" width="9.140625" style="38" customWidth="1"/>
    <col min="6406" max="6406" width="10" style="38" customWidth="1"/>
    <col min="6407" max="6407" width="11.7109375" style="38" customWidth="1"/>
    <col min="6408" max="6417" width="10" style="38" customWidth="1"/>
    <col min="6418" max="6418" width="12" style="38" customWidth="1"/>
    <col min="6419" max="6419" width="13.5703125" style="38" bestFit="1" customWidth="1"/>
    <col min="6420" max="6420" width="10.28515625" style="38" bestFit="1" customWidth="1"/>
    <col min="6421" max="6656" width="9.140625" style="38"/>
    <col min="6657" max="6657" width="2.7109375" style="38" customWidth="1"/>
    <col min="6658" max="6658" width="4.42578125" style="38" customWidth="1"/>
    <col min="6659" max="6659" width="3.5703125" style="38" customWidth="1"/>
    <col min="6660" max="6660" width="12" style="38" customWidth="1"/>
    <col min="6661" max="6661" width="9.140625" style="38" customWidth="1"/>
    <col min="6662" max="6662" width="10" style="38" customWidth="1"/>
    <col min="6663" max="6663" width="11.7109375" style="38" customWidth="1"/>
    <col min="6664" max="6673" width="10" style="38" customWidth="1"/>
    <col min="6674" max="6674" width="12" style="38" customWidth="1"/>
    <col min="6675" max="6675" width="13.5703125" style="38" bestFit="1" customWidth="1"/>
    <col min="6676" max="6676" width="10.28515625" style="38" bestFit="1" customWidth="1"/>
    <col min="6677" max="6912" width="9.140625" style="38"/>
    <col min="6913" max="6913" width="2.7109375" style="38" customWidth="1"/>
    <col min="6914" max="6914" width="4.42578125" style="38" customWidth="1"/>
    <col min="6915" max="6915" width="3.5703125" style="38" customWidth="1"/>
    <col min="6916" max="6916" width="12" style="38" customWidth="1"/>
    <col min="6917" max="6917" width="9.140625" style="38" customWidth="1"/>
    <col min="6918" max="6918" width="10" style="38" customWidth="1"/>
    <col min="6919" max="6919" width="11.7109375" style="38" customWidth="1"/>
    <col min="6920" max="6929" width="10" style="38" customWidth="1"/>
    <col min="6930" max="6930" width="12" style="38" customWidth="1"/>
    <col min="6931" max="6931" width="13.5703125" style="38" bestFit="1" customWidth="1"/>
    <col min="6932" max="6932" width="10.28515625" style="38" bestFit="1" customWidth="1"/>
    <col min="6933" max="7168" width="9.140625" style="38"/>
    <col min="7169" max="7169" width="2.7109375" style="38" customWidth="1"/>
    <col min="7170" max="7170" width="4.42578125" style="38" customWidth="1"/>
    <col min="7171" max="7171" width="3.5703125" style="38" customWidth="1"/>
    <col min="7172" max="7172" width="12" style="38" customWidth="1"/>
    <col min="7173" max="7173" width="9.140625" style="38" customWidth="1"/>
    <col min="7174" max="7174" width="10" style="38" customWidth="1"/>
    <col min="7175" max="7175" width="11.7109375" style="38" customWidth="1"/>
    <col min="7176" max="7185" width="10" style="38" customWidth="1"/>
    <col min="7186" max="7186" width="12" style="38" customWidth="1"/>
    <col min="7187" max="7187" width="13.5703125" style="38" bestFit="1" customWidth="1"/>
    <col min="7188" max="7188" width="10.28515625" style="38" bestFit="1" customWidth="1"/>
    <col min="7189" max="7424" width="9.140625" style="38"/>
    <col min="7425" max="7425" width="2.7109375" style="38" customWidth="1"/>
    <col min="7426" max="7426" width="4.42578125" style="38" customWidth="1"/>
    <col min="7427" max="7427" width="3.5703125" style="38" customWidth="1"/>
    <col min="7428" max="7428" width="12" style="38" customWidth="1"/>
    <col min="7429" max="7429" width="9.140625" style="38" customWidth="1"/>
    <col min="7430" max="7430" width="10" style="38" customWidth="1"/>
    <col min="7431" max="7431" width="11.7109375" style="38" customWidth="1"/>
    <col min="7432" max="7441" width="10" style="38" customWidth="1"/>
    <col min="7442" max="7442" width="12" style="38" customWidth="1"/>
    <col min="7443" max="7443" width="13.5703125" style="38" bestFit="1" customWidth="1"/>
    <col min="7444" max="7444" width="10.28515625" style="38" bestFit="1" customWidth="1"/>
    <col min="7445" max="7680" width="9.140625" style="38"/>
    <col min="7681" max="7681" width="2.7109375" style="38" customWidth="1"/>
    <col min="7682" max="7682" width="4.42578125" style="38" customWidth="1"/>
    <col min="7683" max="7683" width="3.5703125" style="38" customWidth="1"/>
    <col min="7684" max="7684" width="12" style="38" customWidth="1"/>
    <col min="7685" max="7685" width="9.140625" style="38" customWidth="1"/>
    <col min="7686" max="7686" width="10" style="38" customWidth="1"/>
    <col min="7687" max="7687" width="11.7109375" style="38" customWidth="1"/>
    <col min="7688" max="7697" width="10" style="38" customWidth="1"/>
    <col min="7698" max="7698" width="12" style="38" customWidth="1"/>
    <col min="7699" max="7699" width="13.5703125" style="38" bestFit="1" customWidth="1"/>
    <col min="7700" max="7700" width="10.28515625" style="38" bestFit="1" customWidth="1"/>
    <col min="7701" max="7936" width="9.140625" style="38"/>
    <col min="7937" max="7937" width="2.7109375" style="38" customWidth="1"/>
    <col min="7938" max="7938" width="4.42578125" style="38" customWidth="1"/>
    <col min="7939" max="7939" width="3.5703125" style="38" customWidth="1"/>
    <col min="7940" max="7940" width="12" style="38" customWidth="1"/>
    <col min="7941" max="7941" width="9.140625" style="38" customWidth="1"/>
    <col min="7942" max="7942" width="10" style="38" customWidth="1"/>
    <col min="7943" max="7943" width="11.7109375" style="38" customWidth="1"/>
    <col min="7944" max="7953" width="10" style="38" customWidth="1"/>
    <col min="7954" max="7954" width="12" style="38" customWidth="1"/>
    <col min="7955" max="7955" width="13.5703125" style="38" bestFit="1" customWidth="1"/>
    <col min="7956" max="7956" width="10.28515625" style="38" bestFit="1" customWidth="1"/>
    <col min="7957" max="8192" width="9.140625" style="38"/>
    <col min="8193" max="8193" width="2.7109375" style="38" customWidth="1"/>
    <col min="8194" max="8194" width="4.42578125" style="38" customWidth="1"/>
    <col min="8195" max="8195" width="3.5703125" style="38" customWidth="1"/>
    <col min="8196" max="8196" width="12" style="38" customWidth="1"/>
    <col min="8197" max="8197" width="9.140625" style="38" customWidth="1"/>
    <col min="8198" max="8198" width="10" style="38" customWidth="1"/>
    <col min="8199" max="8199" width="11.7109375" style="38" customWidth="1"/>
    <col min="8200" max="8209" width="10" style="38" customWidth="1"/>
    <col min="8210" max="8210" width="12" style="38" customWidth="1"/>
    <col min="8211" max="8211" width="13.5703125" style="38" bestFit="1" customWidth="1"/>
    <col min="8212" max="8212" width="10.28515625" style="38" bestFit="1" customWidth="1"/>
    <col min="8213" max="8448" width="9.140625" style="38"/>
    <col min="8449" max="8449" width="2.7109375" style="38" customWidth="1"/>
    <col min="8450" max="8450" width="4.42578125" style="38" customWidth="1"/>
    <col min="8451" max="8451" width="3.5703125" style="38" customWidth="1"/>
    <col min="8452" max="8452" width="12" style="38" customWidth="1"/>
    <col min="8453" max="8453" width="9.140625" style="38" customWidth="1"/>
    <col min="8454" max="8454" width="10" style="38" customWidth="1"/>
    <col min="8455" max="8455" width="11.7109375" style="38" customWidth="1"/>
    <col min="8456" max="8465" width="10" style="38" customWidth="1"/>
    <col min="8466" max="8466" width="12" style="38" customWidth="1"/>
    <col min="8467" max="8467" width="13.5703125" style="38" bestFit="1" customWidth="1"/>
    <col min="8468" max="8468" width="10.28515625" style="38" bestFit="1" customWidth="1"/>
    <col min="8469" max="8704" width="9.140625" style="38"/>
    <col min="8705" max="8705" width="2.7109375" style="38" customWidth="1"/>
    <col min="8706" max="8706" width="4.42578125" style="38" customWidth="1"/>
    <col min="8707" max="8707" width="3.5703125" style="38" customWidth="1"/>
    <col min="8708" max="8708" width="12" style="38" customWidth="1"/>
    <col min="8709" max="8709" width="9.140625" style="38" customWidth="1"/>
    <col min="8710" max="8710" width="10" style="38" customWidth="1"/>
    <col min="8711" max="8711" width="11.7109375" style="38" customWidth="1"/>
    <col min="8712" max="8721" width="10" style="38" customWidth="1"/>
    <col min="8722" max="8722" width="12" style="38" customWidth="1"/>
    <col min="8723" max="8723" width="13.5703125" style="38" bestFit="1" customWidth="1"/>
    <col min="8724" max="8724" width="10.28515625" style="38" bestFit="1" customWidth="1"/>
    <col min="8725" max="8960" width="9.140625" style="38"/>
    <col min="8961" max="8961" width="2.7109375" style="38" customWidth="1"/>
    <col min="8962" max="8962" width="4.42578125" style="38" customWidth="1"/>
    <col min="8963" max="8963" width="3.5703125" style="38" customWidth="1"/>
    <col min="8964" max="8964" width="12" style="38" customWidth="1"/>
    <col min="8965" max="8965" width="9.140625" style="38" customWidth="1"/>
    <col min="8966" max="8966" width="10" style="38" customWidth="1"/>
    <col min="8967" max="8967" width="11.7109375" style="38" customWidth="1"/>
    <col min="8968" max="8977" width="10" style="38" customWidth="1"/>
    <col min="8978" max="8978" width="12" style="38" customWidth="1"/>
    <col min="8979" max="8979" width="13.5703125" style="38" bestFit="1" customWidth="1"/>
    <col min="8980" max="8980" width="10.28515625" style="38" bestFit="1" customWidth="1"/>
    <col min="8981" max="9216" width="9.140625" style="38"/>
    <col min="9217" max="9217" width="2.7109375" style="38" customWidth="1"/>
    <col min="9218" max="9218" width="4.42578125" style="38" customWidth="1"/>
    <col min="9219" max="9219" width="3.5703125" style="38" customWidth="1"/>
    <col min="9220" max="9220" width="12" style="38" customWidth="1"/>
    <col min="9221" max="9221" width="9.140625" style="38" customWidth="1"/>
    <col min="9222" max="9222" width="10" style="38" customWidth="1"/>
    <col min="9223" max="9223" width="11.7109375" style="38" customWidth="1"/>
    <col min="9224" max="9233" width="10" style="38" customWidth="1"/>
    <col min="9234" max="9234" width="12" style="38" customWidth="1"/>
    <col min="9235" max="9235" width="13.5703125" style="38" bestFit="1" customWidth="1"/>
    <col min="9236" max="9236" width="10.28515625" style="38" bestFit="1" customWidth="1"/>
    <col min="9237" max="9472" width="9.140625" style="38"/>
    <col min="9473" max="9473" width="2.7109375" style="38" customWidth="1"/>
    <col min="9474" max="9474" width="4.42578125" style="38" customWidth="1"/>
    <col min="9475" max="9475" width="3.5703125" style="38" customWidth="1"/>
    <col min="9476" max="9476" width="12" style="38" customWidth="1"/>
    <col min="9477" max="9477" width="9.140625" style="38" customWidth="1"/>
    <col min="9478" max="9478" width="10" style="38" customWidth="1"/>
    <col min="9479" max="9479" width="11.7109375" style="38" customWidth="1"/>
    <col min="9480" max="9489" width="10" style="38" customWidth="1"/>
    <col min="9490" max="9490" width="12" style="38" customWidth="1"/>
    <col min="9491" max="9491" width="13.5703125" style="38" bestFit="1" customWidth="1"/>
    <col min="9492" max="9492" width="10.28515625" style="38" bestFit="1" customWidth="1"/>
    <col min="9493" max="9728" width="9.140625" style="38"/>
    <col min="9729" max="9729" width="2.7109375" style="38" customWidth="1"/>
    <col min="9730" max="9730" width="4.42578125" style="38" customWidth="1"/>
    <col min="9731" max="9731" width="3.5703125" style="38" customWidth="1"/>
    <col min="9732" max="9732" width="12" style="38" customWidth="1"/>
    <col min="9733" max="9733" width="9.140625" style="38" customWidth="1"/>
    <col min="9734" max="9734" width="10" style="38" customWidth="1"/>
    <col min="9735" max="9735" width="11.7109375" style="38" customWidth="1"/>
    <col min="9736" max="9745" width="10" style="38" customWidth="1"/>
    <col min="9746" max="9746" width="12" style="38" customWidth="1"/>
    <col min="9747" max="9747" width="13.5703125" style="38" bestFit="1" customWidth="1"/>
    <col min="9748" max="9748" width="10.28515625" style="38" bestFit="1" customWidth="1"/>
    <col min="9749" max="9984" width="9.140625" style="38"/>
    <col min="9985" max="9985" width="2.7109375" style="38" customWidth="1"/>
    <col min="9986" max="9986" width="4.42578125" style="38" customWidth="1"/>
    <col min="9987" max="9987" width="3.5703125" style="38" customWidth="1"/>
    <col min="9988" max="9988" width="12" style="38" customWidth="1"/>
    <col min="9989" max="9989" width="9.140625" style="38" customWidth="1"/>
    <col min="9990" max="9990" width="10" style="38" customWidth="1"/>
    <col min="9991" max="9991" width="11.7109375" style="38" customWidth="1"/>
    <col min="9992" max="10001" width="10" style="38" customWidth="1"/>
    <col min="10002" max="10002" width="12" style="38" customWidth="1"/>
    <col min="10003" max="10003" width="13.5703125" style="38" bestFit="1" customWidth="1"/>
    <col min="10004" max="10004" width="10.28515625" style="38" bestFit="1" customWidth="1"/>
    <col min="10005" max="10240" width="9.140625" style="38"/>
    <col min="10241" max="10241" width="2.7109375" style="38" customWidth="1"/>
    <col min="10242" max="10242" width="4.42578125" style="38" customWidth="1"/>
    <col min="10243" max="10243" width="3.5703125" style="38" customWidth="1"/>
    <col min="10244" max="10244" width="12" style="38" customWidth="1"/>
    <col min="10245" max="10245" width="9.140625" style="38" customWidth="1"/>
    <col min="10246" max="10246" width="10" style="38" customWidth="1"/>
    <col min="10247" max="10247" width="11.7109375" style="38" customWidth="1"/>
    <col min="10248" max="10257" width="10" style="38" customWidth="1"/>
    <col min="10258" max="10258" width="12" style="38" customWidth="1"/>
    <col min="10259" max="10259" width="13.5703125" style="38" bestFit="1" customWidth="1"/>
    <col min="10260" max="10260" width="10.28515625" style="38" bestFit="1" customWidth="1"/>
    <col min="10261" max="10496" width="9.140625" style="38"/>
    <col min="10497" max="10497" width="2.7109375" style="38" customWidth="1"/>
    <col min="10498" max="10498" width="4.42578125" style="38" customWidth="1"/>
    <col min="10499" max="10499" width="3.5703125" style="38" customWidth="1"/>
    <col min="10500" max="10500" width="12" style="38" customWidth="1"/>
    <col min="10501" max="10501" width="9.140625" style="38" customWidth="1"/>
    <col min="10502" max="10502" width="10" style="38" customWidth="1"/>
    <col min="10503" max="10503" width="11.7109375" style="38" customWidth="1"/>
    <col min="10504" max="10513" width="10" style="38" customWidth="1"/>
    <col min="10514" max="10514" width="12" style="38" customWidth="1"/>
    <col min="10515" max="10515" width="13.5703125" style="38" bestFit="1" customWidth="1"/>
    <col min="10516" max="10516" width="10.28515625" style="38" bestFit="1" customWidth="1"/>
    <col min="10517" max="10752" width="9.140625" style="38"/>
    <col min="10753" max="10753" width="2.7109375" style="38" customWidth="1"/>
    <col min="10754" max="10754" width="4.42578125" style="38" customWidth="1"/>
    <col min="10755" max="10755" width="3.5703125" style="38" customWidth="1"/>
    <col min="10756" max="10756" width="12" style="38" customWidth="1"/>
    <col min="10757" max="10757" width="9.140625" style="38" customWidth="1"/>
    <col min="10758" max="10758" width="10" style="38" customWidth="1"/>
    <col min="10759" max="10759" width="11.7109375" style="38" customWidth="1"/>
    <col min="10760" max="10769" width="10" style="38" customWidth="1"/>
    <col min="10770" max="10770" width="12" style="38" customWidth="1"/>
    <col min="10771" max="10771" width="13.5703125" style="38" bestFit="1" customWidth="1"/>
    <col min="10772" max="10772" width="10.28515625" style="38" bestFit="1" customWidth="1"/>
    <col min="10773" max="11008" width="9.140625" style="38"/>
    <col min="11009" max="11009" width="2.7109375" style="38" customWidth="1"/>
    <col min="11010" max="11010" width="4.42578125" style="38" customWidth="1"/>
    <col min="11011" max="11011" width="3.5703125" style="38" customWidth="1"/>
    <col min="11012" max="11012" width="12" style="38" customWidth="1"/>
    <col min="11013" max="11013" width="9.140625" style="38" customWidth="1"/>
    <col min="11014" max="11014" width="10" style="38" customWidth="1"/>
    <col min="11015" max="11015" width="11.7109375" style="38" customWidth="1"/>
    <col min="11016" max="11025" width="10" style="38" customWidth="1"/>
    <col min="11026" max="11026" width="12" style="38" customWidth="1"/>
    <col min="11027" max="11027" width="13.5703125" style="38" bestFit="1" customWidth="1"/>
    <col min="11028" max="11028" width="10.28515625" style="38" bestFit="1" customWidth="1"/>
    <col min="11029" max="11264" width="9.140625" style="38"/>
    <col min="11265" max="11265" width="2.7109375" style="38" customWidth="1"/>
    <col min="11266" max="11266" width="4.42578125" style="38" customWidth="1"/>
    <col min="11267" max="11267" width="3.5703125" style="38" customWidth="1"/>
    <col min="11268" max="11268" width="12" style="38" customWidth="1"/>
    <col min="11269" max="11269" width="9.140625" style="38" customWidth="1"/>
    <col min="11270" max="11270" width="10" style="38" customWidth="1"/>
    <col min="11271" max="11271" width="11.7109375" style="38" customWidth="1"/>
    <col min="11272" max="11281" width="10" style="38" customWidth="1"/>
    <col min="11282" max="11282" width="12" style="38" customWidth="1"/>
    <col min="11283" max="11283" width="13.5703125" style="38" bestFit="1" customWidth="1"/>
    <col min="11284" max="11284" width="10.28515625" style="38" bestFit="1" customWidth="1"/>
    <col min="11285" max="11520" width="9.140625" style="38"/>
    <col min="11521" max="11521" width="2.7109375" style="38" customWidth="1"/>
    <col min="11522" max="11522" width="4.42578125" style="38" customWidth="1"/>
    <col min="11523" max="11523" width="3.5703125" style="38" customWidth="1"/>
    <col min="11524" max="11524" width="12" style="38" customWidth="1"/>
    <col min="11525" max="11525" width="9.140625" style="38" customWidth="1"/>
    <col min="11526" max="11526" width="10" style="38" customWidth="1"/>
    <col min="11527" max="11527" width="11.7109375" style="38" customWidth="1"/>
    <col min="11528" max="11537" width="10" style="38" customWidth="1"/>
    <col min="11538" max="11538" width="12" style="38" customWidth="1"/>
    <col min="11539" max="11539" width="13.5703125" style="38" bestFit="1" customWidth="1"/>
    <col min="11540" max="11540" width="10.28515625" style="38" bestFit="1" customWidth="1"/>
    <col min="11541" max="11776" width="9.140625" style="38"/>
    <col min="11777" max="11777" width="2.7109375" style="38" customWidth="1"/>
    <col min="11778" max="11778" width="4.42578125" style="38" customWidth="1"/>
    <col min="11779" max="11779" width="3.5703125" style="38" customWidth="1"/>
    <col min="11780" max="11780" width="12" style="38" customWidth="1"/>
    <col min="11781" max="11781" width="9.140625" style="38" customWidth="1"/>
    <col min="11782" max="11782" width="10" style="38" customWidth="1"/>
    <col min="11783" max="11783" width="11.7109375" style="38" customWidth="1"/>
    <col min="11784" max="11793" width="10" style="38" customWidth="1"/>
    <col min="11794" max="11794" width="12" style="38" customWidth="1"/>
    <col min="11795" max="11795" width="13.5703125" style="38" bestFit="1" customWidth="1"/>
    <col min="11796" max="11796" width="10.28515625" style="38" bestFit="1" customWidth="1"/>
    <col min="11797" max="12032" width="9.140625" style="38"/>
    <col min="12033" max="12033" width="2.7109375" style="38" customWidth="1"/>
    <col min="12034" max="12034" width="4.42578125" style="38" customWidth="1"/>
    <col min="12035" max="12035" width="3.5703125" style="38" customWidth="1"/>
    <col min="12036" max="12036" width="12" style="38" customWidth="1"/>
    <col min="12037" max="12037" width="9.140625" style="38" customWidth="1"/>
    <col min="12038" max="12038" width="10" style="38" customWidth="1"/>
    <col min="12039" max="12039" width="11.7109375" style="38" customWidth="1"/>
    <col min="12040" max="12049" width="10" style="38" customWidth="1"/>
    <col min="12050" max="12050" width="12" style="38" customWidth="1"/>
    <col min="12051" max="12051" width="13.5703125" style="38" bestFit="1" customWidth="1"/>
    <col min="12052" max="12052" width="10.28515625" style="38" bestFit="1" customWidth="1"/>
    <col min="12053" max="12288" width="9.140625" style="38"/>
    <col min="12289" max="12289" width="2.7109375" style="38" customWidth="1"/>
    <col min="12290" max="12290" width="4.42578125" style="38" customWidth="1"/>
    <col min="12291" max="12291" width="3.5703125" style="38" customWidth="1"/>
    <col min="12292" max="12292" width="12" style="38" customWidth="1"/>
    <col min="12293" max="12293" width="9.140625" style="38" customWidth="1"/>
    <col min="12294" max="12294" width="10" style="38" customWidth="1"/>
    <col min="12295" max="12295" width="11.7109375" style="38" customWidth="1"/>
    <col min="12296" max="12305" width="10" style="38" customWidth="1"/>
    <col min="12306" max="12306" width="12" style="38" customWidth="1"/>
    <col min="12307" max="12307" width="13.5703125" style="38" bestFit="1" customWidth="1"/>
    <col min="12308" max="12308" width="10.28515625" style="38" bestFit="1" customWidth="1"/>
    <col min="12309" max="12544" width="9.140625" style="38"/>
    <col min="12545" max="12545" width="2.7109375" style="38" customWidth="1"/>
    <col min="12546" max="12546" width="4.42578125" style="38" customWidth="1"/>
    <col min="12547" max="12547" width="3.5703125" style="38" customWidth="1"/>
    <col min="12548" max="12548" width="12" style="38" customWidth="1"/>
    <col min="12549" max="12549" width="9.140625" style="38" customWidth="1"/>
    <col min="12550" max="12550" width="10" style="38" customWidth="1"/>
    <col min="12551" max="12551" width="11.7109375" style="38" customWidth="1"/>
    <col min="12552" max="12561" width="10" style="38" customWidth="1"/>
    <col min="12562" max="12562" width="12" style="38" customWidth="1"/>
    <col min="12563" max="12563" width="13.5703125" style="38" bestFit="1" customWidth="1"/>
    <col min="12564" max="12564" width="10.28515625" style="38" bestFit="1" customWidth="1"/>
    <col min="12565" max="12800" width="9.140625" style="38"/>
    <col min="12801" max="12801" width="2.7109375" style="38" customWidth="1"/>
    <col min="12802" max="12802" width="4.42578125" style="38" customWidth="1"/>
    <col min="12803" max="12803" width="3.5703125" style="38" customWidth="1"/>
    <col min="12804" max="12804" width="12" style="38" customWidth="1"/>
    <col min="12805" max="12805" width="9.140625" style="38" customWidth="1"/>
    <col min="12806" max="12806" width="10" style="38" customWidth="1"/>
    <col min="12807" max="12807" width="11.7109375" style="38" customWidth="1"/>
    <col min="12808" max="12817" width="10" style="38" customWidth="1"/>
    <col min="12818" max="12818" width="12" style="38" customWidth="1"/>
    <col min="12819" max="12819" width="13.5703125" style="38" bestFit="1" customWidth="1"/>
    <col min="12820" max="12820" width="10.28515625" style="38" bestFit="1" customWidth="1"/>
    <col min="12821" max="13056" width="9.140625" style="38"/>
    <col min="13057" max="13057" width="2.7109375" style="38" customWidth="1"/>
    <col min="13058" max="13058" width="4.42578125" style="38" customWidth="1"/>
    <col min="13059" max="13059" width="3.5703125" style="38" customWidth="1"/>
    <col min="13060" max="13060" width="12" style="38" customWidth="1"/>
    <col min="13061" max="13061" width="9.140625" style="38" customWidth="1"/>
    <col min="13062" max="13062" width="10" style="38" customWidth="1"/>
    <col min="13063" max="13063" width="11.7109375" style="38" customWidth="1"/>
    <col min="13064" max="13073" width="10" style="38" customWidth="1"/>
    <col min="13074" max="13074" width="12" style="38" customWidth="1"/>
    <col min="13075" max="13075" width="13.5703125" style="38" bestFit="1" customWidth="1"/>
    <col min="13076" max="13076" width="10.28515625" style="38" bestFit="1" customWidth="1"/>
    <col min="13077" max="13312" width="9.140625" style="38"/>
    <col min="13313" max="13313" width="2.7109375" style="38" customWidth="1"/>
    <col min="13314" max="13314" width="4.42578125" style="38" customWidth="1"/>
    <col min="13315" max="13315" width="3.5703125" style="38" customWidth="1"/>
    <col min="13316" max="13316" width="12" style="38" customWidth="1"/>
    <col min="13317" max="13317" width="9.140625" style="38" customWidth="1"/>
    <col min="13318" max="13318" width="10" style="38" customWidth="1"/>
    <col min="13319" max="13319" width="11.7109375" style="38" customWidth="1"/>
    <col min="13320" max="13329" width="10" style="38" customWidth="1"/>
    <col min="13330" max="13330" width="12" style="38" customWidth="1"/>
    <col min="13331" max="13331" width="13.5703125" style="38" bestFit="1" customWidth="1"/>
    <col min="13332" max="13332" width="10.28515625" style="38" bestFit="1" customWidth="1"/>
    <col min="13333" max="13568" width="9.140625" style="38"/>
    <col min="13569" max="13569" width="2.7109375" style="38" customWidth="1"/>
    <col min="13570" max="13570" width="4.42578125" style="38" customWidth="1"/>
    <col min="13571" max="13571" width="3.5703125" style="38" customWidth="1"/>
    <col min="13572" max="13572" width="12" style="38" customWidth="1"/>
    <col min="13573" max="13573" width="9.140625" style="38" customWidth="1"/>
    <col min="13574" max="13574" width="10" style="38" customWidth="1"/>
    <col min="13575" max="13575" width="11.7109375" style="38" customWidth="1"/>
    <col min="13576" max="13585" width="10" style="38" customWidth="1"/>
    <col min="13586" max="13586" width="12" style="38" customWidth="1"/>
    <col min="13587" max="13587" width="13.5703125" style="38" bestFit="1" customWidth="1"/>
    <col min="13588" max="13588" width="10.28515625" style="38" bestFit="1" customWidth="1"/>
    <col min="13589" max="13824" width="9.140625" style="38"/>
    <col min="13825" max="13825" width="2.7109375" style="38" customWidth="1"/>
    <col min="13826" max="13826" width="4.42578125" style="38" customWidth="1"/>
    <col min="13827" max="13827" width="3.5703125" style="38" customWidth="1"/>
    <col min="13828" max="13828" width="12" style="38" customWidth="1"/>
    <col min="13829" max="13829" width="9.140625" style="38" customWidth="1"/>
    <col min="13830" max="13830" width="10" style="38" customWidth="1"/>
    <col min="13831" max="13831" width="11.7109375" style="38" customWidth="1"/>
    <col min="13832" max="13841" width="10" style="38" customWidth="1"/>
    <col min="13842" max="13842" width="12" style="38" customWidth="1"/>
    <col min="13843" max="13843" width="13.5703125" style="38" bestFit="1" customWidth="1"/>
    <col min="13844" max="13844" width="10.28515625" style="38" bestFit="1" customWidth="1"/>
    <col min="13845" max="14080" width="9.140625" style="38"/>
    <col min="14081" max="14081" width="2.7109375" style="38" customWidth="1"/>
    <col min="14082" max="14082" width="4.42578125" style="38" customWidth="1"/>
    <col min="14083" max="14083" width="3.5703125" style="38" customWidth="1"/>
    <col min="14084" max="14084" width="12" style="38" customWidth="1"/>
    <col min="14085" max="14085" width="9.140625" style="38" customWidth="1"/>
    <col min="14086" max="14086" width="10" style="38" customWidth="1"/>
    <col min="14087" max="14087" width="11.7109375" style="38" customWidth="1"/>
    <col min="14088" max="14097" width="10" style="38" customWidth="1"/>
    <col min="14098" max="14098" width="12" style="38" customWidth="1"/>
    <col min="14099" max="14099" width="13.5703125" style="38" bestFit="1" customWidth="1"/>
    <col min="14100" max="14100" width="10.28515625" style="38" bestFit="1" customWidth="1"/>
    <col min="14101" max="14336" width="9.140625" style="38"/>
    <col min="14337" max="14337" width="2.7109375" style="38" customWidth="1"/>
    <col min="14338" max="14338" width="4.42578125" style="38" customWidth="1"/>
    <col min="14339" max="14339" width="3.5703125" style="38" customWidth="1"/>
    <col min="14340" max="14340" width="12" style="38" customWidth="1"/>
    <col min="14341" max="14341" width="9.140625" style="38" customWidth="1"/>
    <col min="14342" max="14342" width="10" style="38" customWidth="1"/>
    <col min="14343" max="14343" width="11.7109375" style="38" customWidth="1"/>
    <col min="14344" max="14353" width="10" style="38" customWidth="1"/>
    <col min="14354" max="14354" width="12" style="38" customWidth="1"/>
    <col min="14355" max="14355" width="13.5703125" style="38" bestFit="1" customWidth="1"/>
    <col min="14356" max="14356" width="10.28515625" style="38" bestFit="1" customWidth="1"/>
    <col min="14357" max="14592" width="9.140625" style="38"/>
    <col min="14593" max="14593" width="2.7109375" style="38" customWidth="1"/>
    <col min="14594" max="14594" width="4.42578125" style="38" customWidth="1"/>
    <col min="14595" max="14595" width="3.5703125" style="38" customWidth="1"/>
    <col min="14596" max="14596" width="12" style="38" customWidth="1"/>
    <col min="14597" max="14597" width="9.140625" style="38" customWidth="1"/>
    <col min="14598" max="14598" width="10" style="38" customWidth="1"/>
    <col min="14599" max="14599" width="11.7109375" style="38" customWidth="1"/>
    <col min="14600" max="14609" width="10" style="38" customWidth="1"/>
    <col min="14610" max="14610" width="12" style="38" customWidth="1"/>
    <col min="14611" max="14611" width="13.5703125" style="38" bestFit="1" customWidth="1"/>
    <col min="14612" max="14612" width="10.28515625" style="38" bestFit="1" customWidth="1"/>
    <col min="14613" max="14848" width="9.140625" style="38"/>
    <col min="14849" max="14849" width="2.7109375" style="38" customWidth="1"/>
    <col min="14850" max="14850" width="4.42578125" style="38" customWidth="1"/>
    <col min="14851" max="14851" width="3.5703125" style="38" customWidth="1"/>
    <col min="14852" max="14852" width="12" style="38" customWidth="1"/>
    <col min="14853" max="14853" width="9.140625" style="38" customWidth="1"/>
    <col min="14854" max="14854" width="10" style="38" customWidth="1"/>
    <col min="14855" max="14855" width="11.7109375" style="38" customWidth="1"/>
    <col min="14856" max="14865" width="10" style="38" customWidth="1"/>
    <col min="14866" max="14866" width="12" style="38" customWidth="1"/>
    <col min="14867" max="14867" width="13.5703125" style="38" bestFit="1" customWidth="1"/>
    <col min="14868" max="14868" width="10.28515625" style="38" bestFit="1" customWidth="1"/>
    <col min="14869" max="15104" width="9.140625" style="38"/>
    <col min="15105" max="15105" width="2.7109375" style="38" customWidth="1"/>
    <col min="15106" max="15106" width="4.42578125" style="38" customWidth="1"/>
    <col min="15107" max="15107" width="3.5703125" style="38" customWidth="1"/>
    <col min="15108" max="15108" width="12" style="38" customWidth="1"/>
    <col min="15109" max="15109" width="9.140625" style="38" customWidth="1"/>
    <col min="15110" max="15110" width="10" style="38" customWidth="1"/>
    <col min="15111" max="15111" width="11.7109375" style="38" customWidth="1"/>
    <col min="15112" max="15121" width="10" style="38" customWidth="1"/>
    <col min="15122" max="15122" width="12" style="38" customWidth="1"/>
    <col min="15123" max="15123" width="13.5703125" style="38" bestFit="1" customWidth="1"/>
    <col min="15124" max="15124" width="10.28515625" style="38" bestFit="1" customWidth="1"/>
    <col min="15125" max="15360" width="9.140625" style="38"/>
    <col min="15361" max="15361" width="2.7109375" style="38" customWidth="1"/>
    <col min="15362" max="15362" width="4.42578125" style="38" customWidth="1"/>
    <col min="15363" max="15363" width="3.5703125" style="38" customWidth="1"/>
    <col min="15364" max="15364" width="12" style="38" customWidth="1"/>
    <col min="15365" max="15365" width="9.140625" style="38" customWidth="1"/>
    <col min="15366" max="15366" width="10" style="38" customWidth="1"/>
    <col min="15367" max="15367" width="11.7109375" style="38" customWidth="1"/>
    <col min="15368" max="15377" width="10" style="38" customWidth="1"/>
    <col min="15378" max="15378" width="12" style="38" customWidth="1"/>
    <col min="15379" max="15379" width="13.5703125" style="38" bestFit="1" customWidth="1"/>
    <col min="15380" max="15380" width="10.28515625" style="38" bestFit="1" customWidth="1"/>
    <col min="15381" max="15616" width="9.140625" style="38"/>
    <col min="15617" max="15617" width="2.7109375" style="38" customWidth="1"/>
    <col min="15618" max="15618" width="4.42578125" style="38" customWidth="1"/>
    <col min="15619" max="15619" width="3.5703125" style="38" customWidth="1"/>
    <col min="15620" max="15620" width="12" style="38" customWidth="1"/>
    <col min="15621" max="15621" width="9.140625" style="38" customWidth="1"/>
    <col min="15622" max="15622" width="10" style="38" customWidth="1"/>
    <col min="15623" max="15623" width="11.7109375" style="38" customWidth="1"/>
    <col min="15624" max="15633" width="10" style="38" customWidth="1"/>
    <col min="15634" max="15634" width="12" style="38" customWidth="1"/>
    <col min="15635" max="15635" width="13.5703125" style="38" bestFit="1" customWidth="1"/>
    <col min="15636" max="15636" width="10.28515625" style="38" bestFit="1" customWidth="1"/>
    <col min="15637" max="15872" width="9.140625" style="38"/>
    <col min="15873" max="15873" width="2.7109375" style="38" customWidth="1"/>
    <col min="15874" max="15874" width="4.42578125" style="38" customWidth="1"/>
    <col min="15875" max="15875" width="3.5703125" style="38" customWidth="1"/>
    <col min="15876" max="15876" width="12" style="38" customWidth="1"/>
    <col min="15877" max="15877" width="9.140625" style="38" customWidth="1"/>
    <col min="15878" max="15878" width="10" style="38" customWidth="1"/>
    <col min="15879" max="15879" width="11.7109375" style="38" customWidth="1"/>
    <col min="15880" max="15889" width="10" style="38" customWidth="1"/>
    <col min="15890" max="15890" width="12" style="38" customWidth="1"/>
    <col min="15891" max="15891" width="13.5703125" style="38" bestFit="1" customWidth="1"/>
    <col min="15892" max="15892" width="10.28515625" style="38" bestFit="1" customWidth="1"/>
    <col min="15893" max="16128" width="9.140625" style="38"/>
    <col min="16129" max="16129" width="2.7109375" style="38" customWidth="1"/>
    <col min="16130" max="16130" width="4.42578125" style="38" customWidth="1"/>
    <col min="16131" max="16131" width="3.5703125" style="38" customWidth="1"/>
    <col min="16132" max="16132" width="12" style="38" customWidth="1"/>
    <col min="16133" max="16133" width="9.140625" style="38" customWidth="1"/>
    <col min="16134" max="16134" width="10" style="38" customWidth="1"/>
    <col min="16135" max="16135" width="11.7109375" style="38" customWidth="1"/>
    <col min="16136" max="16145" width="10" style="38" customWidth="1"/>
    <col min="16146" max="16146" width="12" style="38" customWidth="1"/>
    <col min="16147" max="16147" width="13.5703125" style="38" bestFit="1" customWidth="1"/>
    <col min="16148" max="16148" width="10.28515625" style="38" bestFit="1" customWidth="1"/>
    <col min="16149" max="16384" width="9.140625" style="38"/>
  </cols>
  <sheetData>
    <row r="1" spans="1:23">
      <c r="A1" s="37" t="str">
        <f>[1]StatsSummary!C3</f>
        <v>Lynnwood</v>
      </c>
      <c r="B1" s="37"/>
      <c r="C1" s="37"/>
      <c r="D1" s="37"/>
    </row>
    <row r="2" spans="1:23">
      <c r="A2" s="37" t="s">
        <v>251</v>
      </c>
      <c r="B2" s="37"/>
      <c r="C2" s="37"/>
      <c r="D2" s="37"/>
    </row>
    <row r="3" spans="1:23">
      <c r="A3" s="131" t="str">
        <f>TEXT(F7,"mmm yy")&amp;" - "&amp;TEXT(Q7,"mmm yy")</f>
        <v>Jan 13 - Dec 13</v>
      </c>
      <c r="B3" s="131"/>
      <c r="C3" s="131"/>
      <c r="D3" s="131"/>
    </row>
    <row r="6" spans="1:23">
      <c r="F6" s="39"/>
    </row>
    <row r="7" spans="1:23">
      <c r="F7" s="40">
        <v>41305</v>
      </c>
      <c r="G7" s="41">
        <f t="shared" ref="G7:Q7" si="0">EOMONTH(F7,1)</f>
        <v>41333</v>
      </c>
      <c r="H7" s="41">
        <f t="shared" si="0"/>
        <v>41364</v>
      </c>
      <c r="I7" s="41">
        <f t="shared" si="0"/>
        <v>41394</v>
      </c>
      <c r="J7" s="41">
        <f t="shared" si="0"/>
        <v>41425</v>
      </c>
      <c r="K7" s="41">
        <f t="shared" si="0"/>
        <v>41455</v>
      </c>
      <c r="L7" s="41">
        <f t="shared" si="0"/>
        <v>41486</v>
      </c>
      <c r="M7" s="41">
        <f t="shared" si="0"/>
        <v>41517</v>
      </c>
      <c r="N7" s="41">
        <f t="shared" si="0"/>
        <v>41547</v>
      </c>
      <c r="O7" s="41">
        <f t="shared" si="0"/>
        <v>41578</v>
      </c>
      <c r="P7" s="41">
        <f t="shared" si="0"/>
        <v>41608</v>
      </c>
      <c r="Q7" s="41">
        <f t="shared" si="0"/>
        <v>41639</v>
      </c>
      <c r="R7" s="42" t="s">
        <v>7</v>
      </c>
    </row>
    <row r="8" spans="1:23">
      <c r="F8" s="43" t="s">
        <v>252</v>
      </c>
      <c r="G8" s="43" t="s">
        <v>252</v>
      </c>
      <c r="H8" s="43" t="s">
        <v>252</v>
      </c>
      <c r="I8" s="43" t="s">
        <v>252</v>
      </c>
      <c r="J8" s="43" t="s">
        <v>252</v>
      </c>
      <c r="K8" s="43" t="s">
        <v>252</v>
      </c>
      <c r="L8" s="43" t="s">
        <v>252</v>
      </c>
      <c r="M8" s="43" t="s">
        <v>252</v>
      </c>
      <c r="N8" s="43" t="s">
        <v>252</v>
      </c>
      <c r="O8" s="43" t="s">
        <v>252</v>
      </c>
      <c r="P8" s="43" t="s">
        <v>252</v>
      </c>
      <c r="Q8" s="43" t="s">
        <v>252</v>
      </c>
      <c r="R8" s="43" t="s">
        <v>252</v>
      </c>
    </row>
    <row r="9" spans="1:23" ht="18">
      <c r="A9" s="44" t="s">
        <v>253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23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38" t="s">
        <v>254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B12" s="38" t="s">
        <v>0</v>
      </c>
      <c r="F12" s="47">
        <v>1985</v>
      </c>
      <c r="G12" s="47">
        <v>1732</v>
      </c>
      <c r="H12" s="47">
        <v>1881</v>
      </c>
      <c r="I12" s="47">
        <v>2022</v>
      </c>
      <c r="J12" s="47">
        <v>2071</v>
      </c>
      <c r="K12" s="47">
        <v>1863</v>
      </c>
      <c r="L12" s="47">
        <v>2022</v>
      </c>
      <c r="M12" s="47">
        <v>1957</v>
      </c>
      <c r="N12" s="47">
        <v>1999</v>
      </c>
      <c r="O12" s="47">
        <v>2092</v>
      </c>
      <c r="P12" s="47">
        <v>1972</v>
      </c>
      <c r="Q12" s="47">
        <v>1891</v>
      </c>
      <c r="R12" s="46">
        <f>SUM(F12:Q12)</f>
        <v>23487</v>
      </c>
      <c r="S12" s="46"/>
      <c r="T12" s="46"/>
      <c r="U12" s="46"/>
      <c r="V12" s="46"/>
      <c r="W12" s="46"/>
    </row>
    <row r="13" spans="1:23" hidden="1" outlineLevel="1">
      <c r="D13" s="48" t="s">
        <v>255</v>
      </c>
      <c r="E13" s="48"/>
      <c r="F13" s="49">
        <v>1637</v>
      </c>
      <c r="G13" s="49">
        <v>1384</v>
      </c>
      <c r="H13" s="49">
        <v>1948</v>
      </c>
      <c r="I13" s="49">
        <v>2680</v>
      </c>
      <c r="J13" s="49">
        <v>3095</v>
      </c>
      <c r="K13" s="49">
        <v>2689</v>
      </c>
      <c r="L13" s="49">
        <v>2582</v>
      </c>
      <c r="M13" s="49">
        <v>2012</v>
      </c>
      <c r="N13" s="49">
        <v>2185</v>
      </c>
      <c r="O13" s="49">
        <v>2400</v>
      </c>
      <c r="P13" s="49">
        <v>2533</v>
      </c>
      <c r="Q13" s="49">
        <v>1766</v>
      </c>
      <c r="R13" s="49">
        <f>SUM(F13:Q13)</f>
        <v>26911</v>
      </c>
      <c r="S13" s="46"/>
      <c r="T13" s="46"/>
      <c r="U13" s="46"/>
      <c r="V13" s="46"/>
      <c r="W13" s="46"/>
    </row>
    <row r="14" spans="1:23" hidden="1" outlineLevel="1">
      <c r="D14" s="48" t="s">
        <v>256</v>
      </c>
      <c r="E14" s="48"/>
      <c r="F14" s="49">
        <v>1530</v>
      </c>
      <c r="G14" s="49">
        <v>1258</v>
      </c>
      <c r="H14" s="49">
        <v>1329</v>
      </c>
      <c r="I14" s="49">
        <v>1663</v>
      </c>
      <c r="J14" s="49">
        <v>1553</v>
      </c>
      <c r="K14" s="49">
        <v>1398</v>
      </c>
      <c r="L14" s="49">
        <v>1623</v>
      </c>
      <c r="M14" s="49">
        <v>1514</v>
      </c>
      <c r="N14" s="49">
        <v>1474</v>
      </c>
      <c r="O14" s="49">
        <v>1525</v>
      </c>
      <c r="P14" s="49">
        <v>1415</v>
      </c>
      <c r="Q14" s="49">
        <v>1487</v>
      </c>
      <c r="R14" s="49">
        <f>SUM(F14:Q14)</f>
        <v>17769</v>
      </c>
      <c r="S14" s="46"/>
      <c r="T14" s="46"/>
      <c r="U14" s="46"/>
      <c r="V14" s="46"/>
      <c r="W14" s="46"/>
    </row>
    <row r="15" spans="1:23" collapsed="1">
      <c r="B15" s="38" t="s">
        <v>1</v>
      </c>
      <c r="F15" s="47">
        <v>3167</v>
      </c>
      <c r="G15" s="47">
        <v>2642</v>
      </c>
      <c r="H15" s="47">
        <v>3277</v>
      </c>
      <c r="I15" s="47">
        <v>4343</v>
      </c>
      <c r="J15" s="47">
        <v>4648</v>
      </c>
      <c r="K15" s="47">
        <v>4087</v>
      </c>
      <c r="L15" s="47">
        <v>4205</v>
      </c>
      <c r="M15" s="47">
        <v>3526</v>
      </c>
      <c r="N15" s="47">
        <v>3659</v>
      </c>
      <c r="O15" s="47">
        <v>3925</v>
      </c>
      <c r="P15" s="47">
        <v>3948</v>
      </c>
      <c r="Q15" s="47">
        <v>3253</v>
      </c>
      <c r="R15" s="46">
        <f>SUM(F15:Q15)</f>
        <v>44680</v>
      </c>
      <c r="S15" s="46"/>
      <c r="T15" s="46"/>
      <c r="U15" s="46"/>
      <c r="V15" s="46"/>
      <c r="W15" s="46"/>
    </row>
    <row r="16" spans="1:23">
      <c r="B16" s="38" t="s">
        <v>257</v>
      </c>
      <c r="F16" s="47">
        <v>1174</v>
      </c>
      <c r="G16" s="47">
        <v>1029</v>
      </c>
      <c r="H16" s="47">
        <v>1068</v>
      </c>
      <c r="I16" s="47">
        <v>1265</v>
      </c>
      <c r="J16" s="47">
        <v>1404</v>
      </c>
      <c r="K16" s="47">
        <v>1157</v>
      </c>
      <c r="L16" s="47">
        <v>1366</v>
      </c>
      <c r="M16" s="47">
        <v>1363</v>
      </c>
      <c r="N16" s="47">
        <v>1487</v>
      </c>
      <c r="O16" s="47">
        <v>2796</v>
      </c>
      <c r="P16" s="47">
        <v>1446</v>
      </c>
      <c r="Q16" s="47">
        <v>1258</v>
      </c>
      <c r="R16" s="46">
        <f>SUM(F16:Q16)</f>
        <v>16813</v>
      </c>
      <c r="S16" s="46"/>
      <c r="T16" s="46"/>
      <c r="U16" s="46"/>
      <c r="V16" s="46"/>
      <c r="W16" s="46"/>
    </row>
    <row r="17" spans="1:23">
      <c r="A17" s="38" t="s">
        <v>7</v>
      </c>
      <c r="F17" s="50">
        <f>SUM(F12,F15:F16)</f>
        <v>6326</v>
      </c>
      <c r="G17" s="50">
        <f t="shared" ref="G17:R17" si="1">SUM(G12,G15:G16)</f>
        <v>5403</v>
      </c>
      <c r="H17" s="50">
        <f t="shared" si="1"/>
        <v>6226</v>
      </c>
      <c r="I17" s="50">
        <f t="shared" si="1"/>
        <v>7630</v>
      </c>
      <c r="J17" s="50">
        <f t="shared" si="1"/>
        <v>8123</v>
      </c>
      <c r="K17" s="50">
        <f t="shared" si="1"/>
        <v>7107</v>
      </c>
      <c r="L17" s="50">
        <f t="shared" si="1"/>
        <v>7593</v>
      </c>
      <c r="M17" s="50">
        <f t="shared" si="1"/>
        <v>6846</v>
      </c>
      <c r="N17" s="50">
        <f t="shared" si="1"/>
        <v>7145</v>
      </c>
      <c r="O17" s="50">
        <f t="shared" si="1"/>
        <v>8813</v>
      </c>
      <c r="P17" s="50">
        <f t="shared" si="1"/>
        <v>7366</v>
      </c>
      <c r="Q17" s="50">
        <f t="shared" si="1"/>
        <v>6402</v>
      </c>
      <c r="R17" s="50">
        <f t="shared" si="1"/>
        <v>84980</v>
      </c>
      <c r="S17" s="46"/>
      <c r="T17" s="46"/>
      <c r="U17" s="46"/>
      <c r="V17" s="46"/>
      <c r="W17" s="46"/>
    </row>
    <row r="18" spans="1:23" s="55" customFormat="1">
      <c r="A18" s="51" t="s">
        <v>258</v>
      </c>
      <c r="B18" s="51"/>
      <c r="C18" s="51"/>
      <c r="D18" s="51"/>
      <c r="E18" s="51"/>
      <c r="F18" s="52">
        <f>+F17-F56</f>
        <v>7.7430204511301781</v>
      </c>
      <c r="G18" s="52">
        <f>+G17-G56</f>
        <v>8.880565930812736</v>
      </c>
      <c r="H18" s="52">
        <f t="shared" ref="H18:M18" si="2">H17-H56</f>
        <v>-13.015557205611003</v>
      </c>
      <c r="I18" s="52">
        <f t="shared" si="2"/>
        <v>239.67277927476243</v>
      </c>
      <c r="J18" s="52">
        <f t="shared" si="2"/>
        <v>4.3014817785187915</v>
      </c>
      <c r="K18" s="52">
        <f t="shared" si="2"/>
        <v>26.45070231263162</v>
      </c>
      <c r="L18" s="52">
        <f t="shared" si="2"/>
        <v>4.2017359996552841</v>
      </c>
      <c r="M18" s="52">
        <f t="shared" si="2"/>
        <v>-10.198905260724132</v>
      </c>
      <c r="N18" s="52">
        <f>+N17-N56</f>
        <v>-10.447150169349698</v>
      </c>
      <c r="O18" s="52">
        <f>O17-O56</f>
        <v>1142.4162271756177</v>
      </c>
      <c r="P18" s="52">
        <f>P17-P56</f>
        <v>-2.0272940711247429</v>
      </c>
      <c r="Q18" s="52">
        <f>Q17-Q56</f>
        <v>-563.01852861240786</v>
      </c>
      <c r="R18" s="53">
        <f>SUM(F18:Q18)</f>
        <v>834.95907760391128</v>
      </c>
      <c r="S18" s="54"/>
      <c r="T18" s="54"/>
      <c r="U18" s="54"/>
      <c r="V18" s="54"/>
      <c r="W18" s="54"/>
    </row>
    <row r="19" spans="1:23" s="55" customFormat="1">
      <c r="A19" s="51" t="s">
        <v>9</v>
      </c>
      <c r="B19" s="51"/>
      <c r="C19" s="51"/>
      <c r="D19" s="51"/>
      <c r="E19" s="56"/>
      <c r="F19" s="57">
        <f>+F18/F17</f>
        <v>1.2239994390025573E-3</v>
      </c>
      <c r="G19" s="57">
        <f t="shared" ref="G19:R19" si="3">+G18/G17</f>
        <v>1.643636115271652E-3</v>
      </c>
      <c r="H19" s="57">
        <f t="shared" si="3"/>
        <v>-2.0905167371684874E-3</v>
      </c>
      <c r="I19" s="57">
        <f t="shared" si="3"/>
        <v>3.1411897676902022E-2</v>
      </c>
      <c r="J19" s="57">
        <f t="shared" si="3"/>
        <v>5.2954349113859306E-4</v>
      </c>
      <c r="K19" s="57">
        <f t="shared" si="3"/>
        <v>3.721781667740484E-3</v>
      </c>
      <c r="L19" s="57">
        <f t="shared" si="3"/>
        <v>5.5336968255699775E-4</v>
      </c>
      <c r="M19" s="57">
        <f t="shared" si="3"/>
        <v>-1.4897612124925696E-3</v>
      </c>
      <c r="N19" s="57">
        <f t="shared" si="3"/>
        <v>-1.4621623749964587E-3</v>
      </c>
      <c r="O19" s="57">
        <f t="shared" si="3"/>
        <v>0.12962852912465878</v>
      </c>
      <c r="P19" s="57">
        <f t="shared" si="3"/>
        <v>-2.7522319727460535E-4</v>
      </c>
      <c r="Q19" s="57">
        <f t="shared" si="3"/>
        <v>-8.7944162544893456E-2</v>
      </c>
      <c r="R19" s="57">
        <f t="shared" si="3"/>
        <v>9.8253598211804107E-3</v>
      </c>
      <c r="S19" s="54"/>
      <c r="T19" s="54"/>
      <c r="U19" s="54"/>
      <c r="V19" s="54"/>
      <c r="W19" s="54"/>
    </row>
    <row r="20" spans="1:23">
      <c r="E20" s="3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46"/>
      <c r="S20" s="46"/>
      <c r="T20" s="46"/>
      <c r="U20" s="46"/>
      <c r="V20" s="46"/>
      <c r="W20" s="46"/>
    </row>
    <row r="21" spans="1:23">
      <c r="B21" s="38" t="s">
        <v>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46"/>
      <c r="S21" s="46"/>
      <c r="T21" s="46"/>
      <c r="U21" s="46"/>
      <c r="V21" s="46"/>
      <c r="W21" s="46"/>
    </row>
    <row r="22" spans="1:23">
      <c r="C22" s="60" t="s">
        <v>259</v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46"/>
      <c r="S22" s="46"/>
      <c r="T22" s="46"/>
      <c r="U22" s="46"/>
      <c r="V22" s="46"/>
      <c r="W22" s="46"/>
    </row>
    <row r="23" spans="1:23">
      <c r="D23" s="61" t="s">
        <v>260</v>
      </c>
      <c r="F23" s="62">
        <v>1045.3888117519973</v>
      </c>
      <c r="G23" s="62">
        <v>894.42035378271362</v>
      </c>
      <c r="H23" s="62">
        <v>981.83721562384426</v>
      </c>
      <c r="I23" s="62">
        <v>1061.3374704031185</v>
      </c>
      <c r="J23" s="62">
        <v>1099.5818643543321</v>
      </c>
      <c r="K23" s="62">
        <v>980.69728461480508</v>
      </c>
      <c r="L23" s="62">
        <v>1081.5607959648096</v>
      </c>
      <c r="M23" s="62">
        <v>1022.7884949896388</v>
      </c>
      <c r="N23" s="62">
        <v>1036.7453150596023</v>
      </c>
      <c r="O23" s="62">
        <v>1077.2464403945023</v>
      </c>
      <c r="P23" s="62">
        <v>1013.7488414086619</v>
      </c>
      <c r="Q23" s="62">
        <v>819.01347525913536</v>
      </c>
      <c r="R23" s="46">
        <f>SUM(F23:Q23)</f>
        <v>12114.36636360716</v>
      </c>
      <c r="S23" s="63"/>
      <c r="T23" s="46"/>
      <c r="U23" s="64"/>
      <c r="V23" s="46"/>
      <c r="W23" s="46"/>
    </row>
    <row r="24" spans="1:23">
      <c r="D24" s="61" t="s">
        <v>261</v>
      </c>
      <c r="F24" s="65">
        <f>F25-F23</f>
        <v>793.03023152953915</v>
      </c>
      <c r="G24" s="65">
        <f t="shared" ref="G24:Q24" si="4">G25-G23</f>
        <v>712.04720832721114</v>
      </c>
      <c r="H24" s="65">
        <f t="shared" si="4"/>
        <v>771.98447760495901</v>
      </c>
      <c r="I24" s="65">
        <f t="shared" si="4"/>
        <v>820.72514523520749</v>
      </c>
      <c r="J24" s="65">
        <f t="shared" si="4"/>
        <v>822.77875141571667</v>
      </c>
      <c r="K24" s="65">
        <f t="shared" si="4"/>
        <v>748.49169892458622</v>
      </c>
      <c r="L24" s="65">
        <f t="shared" si="4"/>
        <v>801.22534414961228</v>
      </c>
      <c r="M24" s="65">
        <f t="shared" si="4"/>
        <v>778.15871583837952</v>
      </c>
      <c r="N24" s="65">
        <f t="shared" si="4"/>
        <v>806.59672496769781</v>
      </c>
      <c r="O24" s="65">
        <f t="shared" si="4"/>
        <v>854.46715282112859</v>
      </c>
      <c r="P24" s="65">
        <f t="shared" si="4"/>
        <v>801.64186246043539</v>
      </c>
      <c r="Q24" s="65">
        <f t="shared" si="4"/>
        <v>1384.9728418205709</v>
      </c>
      <c r="R24" s="46">
        <f t="shared" ref="R24:R29" si="5">SUM(F24:Q24)</f>
        <v>10096.120155095043</v>
      </c>
      <c r="S24" s="46"/>
      <c r="T24" s="46"/>
      <c r="U24" s="64"/>
      <c r="V24" s="46"/>
      <c r="W24" s="46"/>
    </row>
    <row r="25" spans="1:23">
      <c r="C25" s="66" t="s">
        <v>2</v>
      </c>
      <c r="D25" s="67"/>
      <c r="E25" s="67"/>
      <c r="F25" s="68">
        <v>1838.4190432815365</v>
      </c>
      <c r="G25" s="68">
        <v>1606.4675621099248</v>
      </c>
      <c r="H25" s="68">
        <v>1753.8216932288033</v>
      </c>
      <c r="I25" s="68">
        <v>1882.062615638326</v>
      </c>
      <c r="J25" s="68">
        <v>1922.3606157700488</v>
      </c>
      <c r="K25" s="68">
        <v>1729.1889835393913</v>
      </c>
      <c r="L25" s="68">
        <v>1882.7861401144219</v>
      </c>
      <c r="M25" s="68">
        <v>1800.9472108280183</v>
      </c>
      <c r="N25" s="68">
        <v>1843.3420400273001</v>
      </c>
      <c r="O25" s="68">
        <v>1931.7135932156309</v>
      </c>
      <c r="P25" s="68">
        <v>1815.3907038690973</v>
      </c>
      <c r="Q25" s="68">
        <v>2203.9863170797062</v>
      </c>
      <c r="R25" s="69">
        <f t="shared" si="5"/>
        <v>22210.486518702204</v>
      </c>
      <c r="S25" s="46"/>
      <c r="T25" s="46"/>
      <c r="U25" s="64"/>
      <c r="V25" s="46"/>
      <c r="W25" s="46"/>
    </row>
    <row r="26" spans="1:23" s="70" customFormat="1">
      <c r="C26" s="71" t="s">
        <v>262</v>
      </c>
      <c r="D26" s="72"/>
      <c r="E26" s="7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4"/>
      <c r="U26" s="75"/>
      <c r="V26" s="74"/>
      <c r="W26" s="74"/>
    </row>
    <row r="27" spans="1:23">
      <c r="D27" s="61" t="s">
        <v>263</v>
      </c>
      <c r="F27" s="62">
        <v>100.85609840812067</v>
      </c>
      <c r="G27" s="62">
        <v>83.872902550588492</v>
      </c>
      <c r="H27" s="62">
        <v>94.581957061987808</v>
      </c>
      <c r="I27" s="62">
        <v>91.987862649744756</v>
      </c>
      <c r="J27" s="62">
        <v>89.777428370450295</v>
      </c>
      <c r="K27" s="62">
        <v>80.444828481661901</v>
      </c>
      <c r="L27" s="62">
        <v>96.10182156113305</v>
      </c>
      <c r="M27" s="62">
        <v>94.192624232310308</v>
      </c>
      <c r="N27" s="62">
        <v>92.895398456843722</v>
      </c>
      <c r="O27" s="62">
        <v>101.5070411820424</v>
      </c>
      <c r="P27" s="62">
        <v>93.355223530329766</v>
      </c>
      <c r="Q27" s="62">
        <v>38.914908601148682</v>
      </c>
      <c r="R27" s="46">
        <f t="shared" si="5"/>
        <v>1058.4880950863619</v>
      </c>
      <c r="S27" s="46"/>
      <c r="T27" s="64"/>
      <c r="U27" s="46"/>
      <c r="V27" s="46"/>
      <c r="W27" s="46"/>
    </row>
    <row r="28" spans="1:23">
      <c r="D28" s="61" t="s">
        <v>262</v>
      </c>
      <c r="F28" s="74">
        <f>F29-F27</f>
        <v>198.0718694477693</v>
      </c>
      <c r="G28" s="74">
        <f t="shared" ref="G28:Q28" si="6">G29-G27</f>
        <v>163.23455863633563</v>
      </c>
      <c r="H28" s="74">
        <f t="shared" si="6"/>
        <v>167.70264958938935</v>
      </c>
      <c r="I28" s="74">
        <f t="shared" si="6"/>
        <v>183.80569198671688</v>
      </c>
      <c r="J28" s="74">
        <f t="shared" si="6"/>
        <v>192.98329877331076</v>
      </c>
      <c r="K28" s="74">
        <f t="shared" si="6"/>
        <v>161.83618561778263</v>
      </c>
      <c r="L28" s="74">
        <f t="shared" si="6"/>
        <v>183.24139705627979</v>
      </c>
      <c r="M28" s="74">
        <f t="shared" si="6"/>
        <v>206.35156461856945</v>
      </c>
      <c r="N28" s="74">
        <f t="shared" si="6"/>
        <v>205.29839279137616</v>
      </c>
      <c r="O28" s="74">
        <f t="shared" si="6"/>
        <v>217.45455804649581</v>
      </c>
      <c r="P28" s="74">
        <f t="shared" si="6"/>
        <v>202.77216315582885</v>
      </c>
      <c r="Q28" s="74">
        <f t="shared" si="6"/>
        <v>377.28870042271592</v>
      </c>
      <c r="R28" s="46">
        <f t="shared" si="5"/>
        <v>2460.0410301425704</v>
      </c>
      <c r="S28" s="46"/>
      <c r="T28" s="46"/>
      <c r="U28" s="46"/>
      <c r="V28" s="46"/>
      <c r="W28" s="46"/>
    </row>
    <row r="29" spans="1:23" ht="13.5" thickBot="1">
      <c r="C29" s="76" t="s">
        <v>264</v>
      </c>
      <c r="D29" s="77"/>
      <c r="E29" s="77"/>
      <c r="F29" s="78">
        <v>298.92796785588996</v>
      </c>
      <c r="G29" s="78">
        <v>247.10746118692413</v>
      </c>
      <c r="H29" s="78">
        <v>262.28460665137715</v>
      </c>
      <c r="I29" s="78">
        <v>275.79355463646164</v>
      </c>
      <c r="J29" s="78">
        <v>282.76072714376107</v>
      </c>
      <c r="K29" s="78">
        <v>242.28101409944452</v>
      </c>
      <c r="L29" s="78">
        <v>279.34321861741284</v>
      </c>
      <c r="M29" s="78">
        <v>300.54418885087978</v>
      </c>
      <c r="N29" s="78">
        <v>298.1937912482199</v>
      </c>
      <c r="O29" s="78">
        <v>318.9615992285382</v>
      </c>
      <c r="P29" s="78">
        <v>296.12738668615862</v>
      </c>
      <c r="Q29" s="78">
        <v>416.2036090238646</v>
      </c>
      <c r="R29" s="79">
        <f t="shared" si="5"/>
        <v>3518.5291252289317</v>
      </c>
      <c r="S29" s="80"/>
      <c r="T29" s="46"/>
      <c r="U29" s="46"/>
      <c r="V29" s="46"/>
      <c r="W29" s="46"/>
    </row>
    <row r="30" spans="1:23" ht="13.5" thickBot="1">
      <c r="B30" s="81" t="s">
        <v>265</v>
      </c>
      <c r="C30" s="82"/>
      <c r="D30" s="82"/>
      <c r="E30" s="82"/>
      <c r="F30" s="83">
        <f>F25+F29</f>
        <v>2137.3470111374263</v>
      </c>
      <c r="G30" s="83">
        <f t="shared" ref="G30:R30" si="7">G25+G29</f>
        <v>1853.5750232968489</v>
      </c>
      <c r="H30" s="83">
        <f t="shared" si="7"/>
        <v>2016.1062998801804</v>
      </c>
      <c r="I30" s="83">
        <f t="shared" si="7"/>
        <v>2157.8561702747875</v>
      </c>
      <c r="J30" s="83">
        <f t="shared" si="7"/>
        <v>2205.1213429138097</v>
      </c>
      <c r="K30" s="83">
        <f t="shared" si="7"/>
        <v>1971.4699976388358</v>
      </c>
      <c r="L30" s="83">
        <f t="shared" si="7"/>
        <v>2162.1293587318346</v>
      </c>
      <c r="M30" s="83">
        <f t="shared" si="7"/>
        <v>2101.4913996788982</v>
      </c>
      <c r="N30" s="83">
        <f t="shared" si="7"/>
        <v>2141.5358312755197</v>
      </c>
      <c r="O30" s="83">
        <f t="shared" si="7"/>
        <v>2250.6751924441692</v>
      </c>
      <c r="P30" s="83">
        <f t="shared" si="7"/>
        <v>2111.5180905552561</v>
      </c>
      <c r="Q30" s="83">
        <f>Q25+Q29</f>
        <v>2620.1899261035705</v>
      </c>
      <c r="R30" s="84">
        <f t="shared" si="7"/>
        <v>25729.015643931136</v>
      </c>
      <c r="S30" s="46"/>
      <c r="T30" s="63"/>
      <c r="U30" s="46"/>
      <c r="V30" s="46"/>
      <c r="W30" s="46"/>
    </row>
    <row r="31" spans="1:23">
      <c r="F31" s="85">
        <f>+(F30-F$12)/F$12</f>
        <v>7.6749123998703428E-2</v>
      </c>
      <c r="G31" s="85">
        <f t="shared" ref="G31:R31" si="8">+(G30-G$12)/G$12</f>
        <v>7.0193431464693382E-2</v>
      </c>
      <c r="H31" s="85">
        <f t="shared" si="8"/>
        <v>7.1826847357884291E-2</v>
      </c>
      <c r="I31" s="85">
        <f t="shared" si="8"/>
        <v>6.7189006070616952E-2</v>
      </c>
      <c r="J31" s="85">
        <f t="shared" si="8"/>
        <v>6.4761633468763749E-2</v>
      </c>
      <c r="K31" s="85">
        <f t="shared" si="8"/>
        <v>5.8223294492128728E-2</v>
      </c>
      <c r="L31" s="85">
        <f t="shared" si="8"/>
        <v>6.9302353477663003E-2</v>
      </c>
      <c r="M31" s="85">
        <f t="shared" si="8"/>
        <v>7.3833111741899965E-2</v>
      </c>
      <c r="N31" s="85">
        <f t="shared" si="8"/>
        <v>7.1303567421470607E-2</v>
      </c>
      <c r="O31" s="85">
        <f t="shared" si="8"/>
        <v>7.5848562353809351E-2</v>
      </c>
      <c r="P31" s="85">
        <f t="shared" si="8"/>
        <v>7.0749538821123781E-2</v>
      </c>
      <c r="Q31" s="85">
        <f t="shared" si="8"/>
        <v>0.38561074886492358</v>
      </c>
      <c r="R31" s="85">
        <f t="shared" si="8"/>
        <v>9.5457727420749178E-2</v>
      </c>
      <c r="S31" s="46"/>
      <c r="T31" s="46"/>
      <c r="U31" s="46"/>
      <c r="V31" s="46"/>
      <c r="W31" s="46"/>
    </row>
    <row r="32" spans="1:23">
      <c r="B32" s="38" t="s">
        <v>1</v>
      </c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46"/>
      <c r="T32" s="46"/>
      <c r="U32" s="46"/>
      <c r="V32" s="46"/>
      <c r="W32" s="46"/>
    </row>
    <row r="33" spans="2:23">
      <c r="C33" s="38" t="s">
        <v>259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2:23">
      <c r="D34" s="61" t="s">
        <v>266</v>
      </c>
      <c r="F34" s="88">
        <v>955.81758110173223</v>
      </c>
      <c r="G34" s="88">
        <v>792.39637219668282</v>
      </c>
      <c r="H34" s="88">
        <v>836.04830530719914</v>
      </c>
      <c r="I34" s="88">
        <v>926.60048134276826</v>
      </c>
      <c r="J34" s="88">
        <v>962.55682761104492</v>
      </c>
      <c r="K34" s="88">
        <v>889.99123405035095</v>
      </c>
      <c r="L34" s="88">
        <v>1049.8326733170538</v>
      </c>
      <c r="M34" s="88">
        <v>954.42608164853084</v>
      </c>
      <c r="N34" s="88">
        <v>956.93564510885631</v>
      </c>
      <c r="O34" s="88">
        <v>948.73854334006614</v>
      </c>
      <c r="P34" s="88">
        <v>895.2575241017139</v>
      </c>
      <c r="Q34" s="88">
        <v>948.11557032637404</v>
      </c>
      <c r="R34" s="46">
        <f>SUM(F34:Q34)</f>
        <v>11116.716839452374</v>
      </c>
      <c r="S34" s="63">
        <f>+R34/R36</f>
        <v>0.66481599572621841</v>
      </c>
      <c r="T34" s="46"/>
      <c r="U34" s="64"/>
      <c r="V34" s="46"/>
      <c r="W34" s="46"/>
    </row>
    <row r="35" spans="2:23">
      <c r="D35" s="61" t="s">
        <v>267</v>
      </c>
      <c r="F35" s="74">
        <f t="shared" ref="F35:Q35" si="9">+F36-F34</f>
        <v>505.15026961300509</v>
      </c>
      <c r="G35" s="74">
        <f t="shared" si="9"/>
        <v>400.30051577779398</v>
      </c>
      <c r="H35" s="74">
        <f t="shared" si="9"/>
        <v>434.92663223444629</v>
      </c>
      <c r="I35" s="74">
        <f t="shared" si="9"/>
        <v>444.24053338171711</v>
      </c>
      <c r="J35" s="74">
        <f t="shared" si="9"/>
        <v>519.37482134668437</v>
      </c>
      <c r="K35" s="74">
        <f t="shared" si="9"/>
        <v>445.8297554543459</v>
      </c>
      <c r="L35" s="74">
        <f t="shared" si="9"/>
        <v>501.20397675878212</v>
      </c>
      <c r="M35" s="74">
        <f t="shared" si="9"/>
        <v>490.81670752345133</v>
      </c>
      <c r="N35" s="74">
        <f t="shared" si="9"/>
        <v>448.67231486384298</v>
      </c>
      <c r="O35" s="74">
        <f t="shared" si="9"/>
        <v>503.04786344430295</v>
      </c>
      <c r="P35" s="74">
        <f t="shared" si="9"/>
        <v>456.48177202918851</v>
      </c>
      <c r="Q35" s="74">
        <f t="shared" si="9"/>
        <v>454.73223248925626</v>
      </c>
      <c r="R35" s="46">
        <f>SUM(F35:Q35)</f>
        <v>5604.7773949168177</v>
      </c>
      <c r="S35" s="63">
        <f>+R35/R36</f>
        <v>0.33518400427378164</v>
      </c>
      <c r="T35" s="64"/>
      <c r="U35" s="46"/>
      <c r="V35" s="46"/>
      <c r="W35" s="46"/>
    </row>
    <row r="36" spans="2:23">
      <c r="C36" s="66" t="s">
        <v>2</v>
      </c>
      <c r="D36" s="67"/>
      <c r="E36" s="67"/>
      <c r="F36" s="68">
        <v>1460.9678507147373</v>
      </c>
      <c r="G36" s="68">
        <v>1192.6968879744768</v>
      </c>
      <c r="H36" s="68">
        <v>1270.9749375416454</v>
      </c>
      <c r="I36" s="68">
        <v>1370.8410147244854</v>
      </c>
      <c r="J36" s="68">
        <v>1481.9316489577293</v>
      </c>
      <c r="K36" s="68">
        <v>1335.8209895046969</v>
      </c>
      <c r="L36" s="68">
        <v>1551.036650075836</v>
      </c>
      <c r="M36" s="68">
        <v>1445.2427891719822</v>
      </c>
      <c r="N36" s="68">
        <v>1405.6079599726993</v>
      </c>
      <c r="O36" s="68">
        <v>1451.7864067843691</v>
      </c>
      <c r="P36" s="68">
        <v>1351.7392961309024</v>
      </c>
      <c r="Q36" s="68">
        <v>1402.8478028156303</v>
      </c>
      <c r="R36" s="69">
        <f>SUM(R34:R35)</f>
        <v>16721.494234369191</v>
      </c>
      <c r="S36" s="46"/>
      <c r="T36" s="46"/>
      <c r="U36" s="46"/>
      <c r="V36" s="46"/>
      <c r="W36" s="46"/>
    </row>
    <row r="37" spans="2:23">
      <c r="C37" s="38" t="s">
        <v>262</v>
      </c>
      <c r="F37" s="85">
        <v>-4.5119051820433125E-2</v>
      </c>
      <c r="G37" s="85">
        <v>-5.1910263931258513E-2</v>
      </c>
      <c r="H37" s="85">
        <v>-4.3660694099589593E-2</v>
      </c>
      <c r="I37" s="85">
        <v>-0.17568189132622647</v>
      </c>
      <c r="J37" s="85">
        <v>-4.5761977490193631E-2</v>
      </c>
      <c r="K37" s="85">
        <v>-4.4477117664737588E-2</v>
      </c>
      <c r="L37" s="85">
        <v>-4.4339710366089989E-2</v>
      </c>
      <c r="M37" s="85">
        <v>-4.5414273994727763E-2</v>
      </c>
      <c r="N37" s="85">
        <v>-4.6398941673881075E-2</v>
      </c>
      <c r="O37" s="85">
        <v>-4.800891358402027E-2</v>
      </c>
      <c r="P37" s="85">
        <v>-4.4707211214909962E-2</v>
      </c>
      <c r="Q37" s="85">
        <v>-5.6591928167027371E-2</v>
      </c>
      <c r="R37" s="85">
        <f t="shared" ref="R37" si="10">+(R36-R$14)/R$14</f>
        <v>-5.8951306524329394E-2</v>
      </c>
      <c r="S37" s="46"/>
      <c r="T37" s="46"/>
      <c r="U37" s="46"/>
      <c r="V37" s="46"/>
      <c r="W37" s="46"/>
    </row>
    <row r="38" spans="2:23">
      <c r="D38" s="61" t="s">
        <v>266</v>
      </c>
      <c r="F38" s="88">
        <v>582.06808336712038</v>
      </c>
      <c r="G38" s="88">
        <v>439.74011691378394</v>
      </c>
      <c r="H38" s="88">
        <v>468.85468865090411</v>
      </c>
      <c r="I38" s="88">
        <v>516.48440640406704</v>
      </c>
      <c r="J38" s="88">
        <v>498.90250284396723</v>
      </c>
      <c r="K38" s="88">
        <v>487.70665406425326</v>
      </c>
      <c r="L38" s="88">
        <v>553.2508605580864</v>
      </c>
      <c r="M38" s="88">
        <v>491.40334109247345</v>
      </c>
      <c r="N38" s="88">
        <v>518.0133602932475</v>
      </c>
      <c r="O38" s="88">
        <v>512.52499825592497</v>
      </c>
      <c r="P38" s="88">
        <v>496.87178473738732</v>
      </c>
      <c r="Q38" s="88">
        <v>575.93364543048369</v>
      </c>
      <c r="R38" s="46">
        <f>SUM(F38:Q38)</f>
        <v>6141.7544426117001</v>
      </c>
      <c r="S38" s="63">
        <f>+R38/R40</f>
        <v>0.51461038041136298</v>
      </c>
      <c r="T38" s="46"/>
      <c r="U38" s="64"/>
      <c r="V38" s="46"/>
      <c r="W38" s="46"/>
    </row>
    <row r="39" spans="2:23">
      <c r="D39" s="61" t="s">
        <v>267</v>
      </c>
      <c r="F39" s="74">
        <f t="shared" ref="F39:Q39" si="11">+F40-F38</f>
        <v>543.12403432958581</v>
      </c>
      <c r="G39" s="74">
        <f t="shared" si="11"/>
        <v>404.88740588407802</v>
      </c>
      <c r="H39" s="74">
        <f t="shared" si="11"/>
        <v>444.7696311328807</v>
      </c>
      <c r="I39" s="74">
        <f t="shared" si="11"/>
        <v>454.71062932189818</v>
      </c>
      <c r="J39" s="74">
        <f t="shared" si="11"/>
        <v>503.69302350597445</v>
      </c>
      <c r="K39" s="74">
        <f t="shared" si="11"/>
        <v>457.65165647958293</v>
      </c>
      <c r="L39" s="74">
        <f t="shared" si="11"/>
        <v>520.16139463458842</v>
      </c>
      <c r="M39" s="74">
        <f t="shared" si="11"/>
        <v>478.24137531737125</v>
      </c>
      <c r="N39" s="74">
        <f t="shared" si="11"/>
        <v>464.05999862788281</v>
      </c>
      <c r="O39" s="74">
        <f t="shared" si="11"/>
        <v>505.86717533991907</v>
      </c>
      <c r="P39" s="74">
        <f t="shared" si="11"/>
        <v>464.69812264757866</v>
      </c>
      <c r="Q39" s="74">
        <f t="shared" si="11"/>
        <v>551.14705426272303</v>
      </c>
      <c r="R39" s="46">
        <f>SUM(F39:Q39)</f>
        <v>5793.011501484063</v>
      </c>
      <c r="S39" s="63">
        <f>+R39/R40</f>
        <v>0.48538961958863702</v>
      </c>
      <c r="T39" s="46"/>
      <c r="U39" s="64"/>
      <c r="V39" s="46"/>
      <c r="W39" s="46"/>
    </row>
    <row r="40" spans="2:23">
      <c r="C40" s="66" t="s">
        <v>3</v>
      </c>
      <c r="D40" s="67"/>
      <c r="E40" s="67"/>
      <c r="F40" s="68">
        <v>1125.1921176967062</v>
      </c>
      <c r="G40" s="68">
        <v>844.62752279786196</v>
      </c>
      <c r="H40" s="68">
        <v>913.62431978378481</v>
      </c>
      <c r="I40" s="68">
        <v>971.19503572596523</v>
      </c>
      <c r="J40" s="68">
        <v>1002.5955263499417</v>
      </c>
      <c r="K40" s="68">
        <v>945.35831054383618</v>
      </c>
      <c r="L40" s="68">
        <v>1073.4122551926748</v>
      </c>
      <c r="M40" s="68">
        <v>969.6447164098447</v>
      </c>
      <c r="N40" s="68">
        <v>982.07335892113031</v>
      </c>
      <c r="O40" s="68">
        <v>1018.392173595844</v>
      </c>
      <c r="P40" s="68">
        <v>961.56990738496597</v>
      </c>
      <c r="Q40" s="68">
        <v>1127.0806996932067</v>
      </c>
      <c r="R40" s="69">
        <f>SUM(R38:R39)</f>
        <v>11934.765944095763</v>
      </c>
      <c r="S40" s="46"/>
      <c r="T40" s="46"/>
      <c r="U40" s="46"/>
      <c r="V40" s="46"/>
      <c r="W40" s="46"/>
    </row>
    <row r="41" spans="2:23">
      <c r="C41" s="38" t="s">
        <v>268</v>
      </c>
      <c r="F41" s="85">
        <v>-5.0762298291566144E-2</v>
      </c>
      <c r="G41" s="85">
        <v>-4.6945431504435101E-2</v>
      </c>
      <c r="H41" s="85">
        <v>-3.9350965203395989E-2</v>
      </c>
      <c r="I41" s="85">
        <v>-3.1203344878371245E-2</v>
      </c>
      <c r="J41" s="85">
        <v>-2.3274466445899294E-2</v>
      </c>
      <c r="K41" s="85">
        <v>-2.7125953683958221E-2</v>
      </c>
      <c r="L41" s="85">
        <v>-3.3023913558220555E-2</v>
      </c>
      <c r="M41" s="85">
        <v>-3.8039405362900278E-2</v>
      </c>
      <c r="N41" s="85">
        <v>-3.4350865482320227E-2</v>
      </c>
      <c r="O41" s="85">
        <v>-3.551992766839817E-2</v>
      </c>
      <c r="P41" s="85">
        <v>-2.9640778766298507E-2</v>
      </c>
      <c r="Q41" s="85">
        <v>-5.0226104363982588E-2</v>
      </c>
      <c r="R41" s="85">
        <f t="shared" ref="R41" si="12">+((R40+R44)-R$13)/R$13</f>
        <v>-3.490074898384446E-2</v>
      </c>
      <c r="S41" s="46"/>
      <c r="T41" s="46"/>
      <c r="U41" s="46"/>
      <c r="V41" s="46"/>
      <c r="W41" s="46"/>
    </row>
    <row r="42" spans="2:23">
      <c r="D42" s="61" t="s">
        <v>266</v>
      </c>
      <c r="F42" s="88">
        <v>400.62</v>
      </c>
      <c r="G42" s="88">
        <v>448.70000000000005</v>
      </c>
      <c r="H42" s="88">
        <v>785.88</v>
      </c>
      <c r="I42" s="88">
        <v>1249.28</v>
      </c>
      <c r="J42" s="88">
        <v>1516.47</v>
      </c>
      <c r="K42" s="88">
        <v>1246.51</v>
      </c>
      <c r="L42" s="88">
        <v>1110.73</v>
      </c>
      <c r="M42" s="88">
        <v>747.5</v>
      </c>
      <c r="N42" s="88">
        <v>903.67000000000007</v>
      </c>
      <c r="O42" s="88">
        <v>1070.25</v>
      </c>
      <c r="P42" s="88">
        <v>1273.55</v>
      </c>
      <c r="Q42" s="88">
        <v>493.34999999999997</v>
      </c>
      <c r="R42" s="46">
        <f>SUM(F42:Q42)</f>
        <v>11246.51</v>
      </c>
      <c r="S42" s="116">
        <f>+R42/R44</f>
        <v>0.80120353180375892</v>
      </c>
      <c r="T42" s="46"/>
      <c r="U42" s="64"/>
      <c r="V42" s="46"/>
      <c r="W42" s="46"/>
    </row>
    <row r="43" spans="2:23">
      <c r="D43" s="61" t="s">
        <v>267</v>
      </c>
      <c r="F43" s="74">
        <f t="shared" ref="F43:Q43" si="13">+F44-F42</f>
        <v>28.090000000000032</v>
      </c>
      <c r="G43" s="74">
        <f t="shared" si="13"/>
        <v>25.699999999999932</v>
      </c>
      <c r="H43" s="74">
        <f t="shared" si="13"/>
        <v>171.83999999999992</v>
      </c>
      <c r="I43" s="74">
        <f t="shared" si="13"/>
        <v>375.90000000000009</v>
      </c>
      <c r="J43" s="74">
        <f t="shared" si="13"/>
        <v>503.89999999999986</v>
      </c>
      <c r="K43" s="74">
        <f t="shared" si="13"/>
        <v>424.19000000000005</v>
      </c>
      <c r="L43" s="74">
        <f t="shared" si="13"/>
        <v>312.58999999999992</v>
      </c>
      <c r="M43" s="74">
        <f t="shared" si="13"/>
        <v>218.32000000000005</v>
      </c>
      <c r="N43" s="74">
        <f t="shared" si="13"/>
        <v>224.19999999999982</v>
      </c>
      <c r="O43" s="74">
        <f t="shared" si="13"/>
        <v>226.11000000000013</v>
      </c>
      <c r="P43" s="74">
        <f t="shared" si="13"/>
        <v>222.80000000000018</v>
      </c>
      <c r="Q43" s="74">
        <f t="shared" si="13"/>
        <v>56.870000000000061</v>
      </c>
      <c r="R43" s="46">
        <f>SUM(F43:Q43)</f>
        <v>2790.5099999999998</v>
      </c>
      <c r="S43" s="63">
        <f>+R43/R44</f>
        <v>0.19879646819624106</v>
      </c>
      <c r="T43" s="46"/>
      <c r="U43" s="64"/>
      <c r="V43" s="46"/>
      <c r="W43" s="46"/>
    </row>
    <row r="44" spans="2:23" ht="13.5" thickBot="1">
      <c r="C44" s="89" t="s">
        <v>4</v>
      </c>
      <c r="D44" s="77"/>
      <c r="E44" s="77"/>
      <c r="F44" s="78">
        <v>428.71000000000004</v>
      </c>
      <c r="G44" s="78">
        <v>474.4</v>
      </c>
      <c r="H44" s="78">
        <v>957.71999999999991</v>
      </c>
      <c r="I44" s="78">
        <v>1625.18</v>
      </c>
      <c r="J44" s="78">
        <v>2020.37</v>
      </c>
      <c r="K44" s="78">
        <v>1670.7</v>
      </c>
      <c r="L44" s="78">
        <v>1423.32</v>
      </c>
      <c r="M44" s="78">
        <v>965.82</v>
      </c>
      <c r="N44" s="78">
        <v>1127.8699999999999</v>
      </c>
      <c r="O44" s="78">
        <v>1296.3600000000001</v>
      </c>
      <c r="P44" s="78">
        <v>1496.3500000000001</v>
      </c>
      <c r="Q44" s="78">
        <v>550.22</v>
      </c>
      <c r="R44" s="79">
        <f>SUM(R42:R43)</f>
        <v>14037.02</v>
      </c>
      <c r="S44" s="80"/>
      <c r="T44" s="46"/>
      <c r="U44" s="46"/>
      <c r="V44" s="46"/>
      <c r="W44" s="46"/>
    </row>
    <row r="45" spans="2:23" ht="13.5" thickBot="1">
      <c r="B45" s="81" t="s">
        <v>269</v>
      </c>
      <c r="C45" s="82"/>
      <c r="D45" s="82"/>
      <c r="E45" s="82"/>
      <c r="F45" s="83">
        <f t="shared" ref="F45:R45" si="14">F36+F40+F44</f>
        <v>3014.8699684114436</v>
      </c>
      <c r="G45" s="83">
        <f t="shared" si="14"/>
        <v>2511.7244107723386</v>
      </c>
      <c r="H45" s="83">
        <f t="shared" si="14"/>
        <v>3142.31925732543</v>
      </c>
      <c r="I45" s="83">
        <f t="shared" si="14"/>
        <v>3967.2160504504509</v>
      </c>
      <c r="J45" s="83">
        <f t="shared" si="14"/>
        <v>4504.8971753076712</v>
      </c>
      <c r="K45" s="83">
        <f t="shared" si="14"/>
        <v>3951.879300048533</v>
      </c>
      <c r="L45" s="83">
        <f t="shared" si="14"/>
        <v>4047.7689052685109</v>
      </c>
      <c r="M45" s="83">
        <f t="shared" si="14"/>
        <v>3380.7075055818273</v>
      </c>
      <c r="N45" s="83">
        <f t="shared" si="14"/>
        <v>3515.5513188938294</v>
      </c>
      <c r="O45" s="83">
        <f t="shared" si="14"/>
        <v>3766.5385803802133</v>
      </c>
      <c r="P45" s="83">
        <f t="shared" si="14"/>
        <v>3809.6592035158683</v>
      </c>
      <c r="Q45" s="83">
        <f t="shared" si="14"/>
        <v>3080.1485025088368</v>
      </c>
      <c r="R45" s="84">
        <f t="shared" si="14"/>
        <v>42693.280178464949</v>
      </c>
      <c r="S45" s="46">
        <f>+R34+R38+R42</f>
        <v>28504.981282064073</v>
      </c>
      <c r="T45" s="63"/>
      <c r="U45" s="46"/>
      <c r="V45" s="46"/>
      <c r="W45" s="46"/>
    </row>
    <row r="46" spans="2:23">
      <c r="F46" s="85">
        <f>+(F45-F$15)/F$15</f>
        <v>-4.8036006185208854E-2</v>
      </c>
      <c r="G46" s="85">
        <f t="shared" ref="G46:R46" si="15">+(G45-G$15)/G$15</f>
        <v>-4.9309458451045188E-2</v>
      </c>
      <c r="H46" s="85">
        <f t="shared" si="15"/>
        <v>-4.1098792393826654E-2</v>
      </c>
      <c r="I46" s="85">
        <f t="shared" si="15"/>
        <v>-8.6526352647835397E-2</v>
      </c>
      <c r="J46" s="85">
        <f t="shared" si="15"/>
        <v>-3.0788043178211873E-2</v>
      </c>
      <c r="K46" s="85">
        <f t="shared" si="15"/>
        <v>-3.3061096146676544E-2</v>
      </c>
      <c r="L46" s="85">
        <f t="shared" si="15"/>
        <v>-3.7391461291673977E-2</v>
      </c>
      <c r="M46" s="85">
        <f t="shared" si="15"/>
        <v>-4.1206039256430155E-2</v>
      </c>
      <c r="N46" s="85">
        <f t="shared" si="15"/>
        <v>-3.9204340285917086E-2</v>
      </c>
      <c r="O46" s="85">
        <f t="shared" si="15"/>
        <v>-4.0372336208862866E-2</v>
      </c>
      <c r="P46" s="85">
        <f t="shared" si="15"/>
        <v>-3.5040728592738532E-2</v>
      </c>
      <c r="Q46" s="85">
        <f t="shared" si="15"/>
        <v>-5.3136027510348349E-2</v>
      </c>
      <c r="R46" s="85">
        <f t="shared" si="15"/>
        <v>-4.446552868252128E-2</v>
      </c>
      <c r="S46" s="46"/>
      <c r="T46" s="46"/>
      <c r="U46" s="46"/>
      <c r="V46" s="46"/>
      <c r="W46" s="46"/>
    </row>
    <row r="47" spans="2:23">
      <c r="B47" s="38" t="s">
        <v>257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46"/>
      <c r="S47" s="46"/>
      <c r="T47" s="46"/>
      <c r="U47" s="46"/>
      <c r="V47" s="46"/>
      <c r="W47" s="46"/>
    </row>
    <row r="48" spans="2:23">
      <c r="C48" s="61" t="s">
        <v>260</v>
      </c>
      <c r="F48" s="62">
        <v>451.74999999999994</v>
      </c>
      <c r="G48" s="62">
        <v>354.34000000000015</v>
      </c>
      <c r="H48" s="62">
        <v>388.8900000000001</v>
      </c>
      <c r="I48" s="62">
        <v>476.99999999999989</v>
      </c>
      <c r="J48" s="62">
        <v>473.41999999999996</v>
      </c>
      <c r="K48" s="62">
        <v>440.73</v>
      </c>
      <c r="L48" s="62">
        <v>534.69999999999982</v>
      </c>
      <c r="M48" s="62">
        <v>480.56000000000017</v>
      </c>
      <c r="N48" s="62">
        <v>515.66999999999996</v>
      </c>
      <c r="O48" s="62">
        <v>530.74999999999989</v>
      </c>
      <c r="P48" s="62">
        <v>456.08000000000004</v>
      </c>
      <c r="Q48" s="62">
        <v>449.09010000000006</v>
      </c>
      <c r="R48" s="46">
        <f>SUM(F48:Q48)</f>
        <v>5552.9801000000007</v>
      </c>
      <c r="S48" s="63">
        <f>+R48/R50</f>
        <v>0.35318133472761065</v>
      </c>
      <c r="T48" s="46"/>
      <c r="U48" s="46"/>
      <c r="V48" s="46"/>
      <c r="W48" s="46"/>
    </row>
    <row r="49" spans="1:21" ht="13.5" thickBot="1">
      <c r="C49" s="61" t="s">
        <v>261</v>
      </c>
      <c r="F49" s="74">
        <f t="shared" ref="F49:Q49" si="16">F50-F48</f>
        <v>714.28999999999951</v>
      </c>
      <c r="G49" s="74">
        <f t="shared" si="16"/>
        <v>674.48</v>
      </c>
      <c r="H49" s="74">
        <f t="shared" si="16"/>
        <v>691.7</v>
      </c>
      <c r="I49" s="74">
        <f t="shared" si="16"/>
        <v>788.25499999999977</v>
      </c>
      <c r="J49" s="74">
        <f t="shared" si="16"/>
        <v>935.25999999999988</v>
      </c>
      <c r="K49" s="74">
        <f t="shared" si="16"/>
        <v>716.47</v>
      </c>
      <c r="L49" s="74">
        <f t="shared" si="16"/>
        <v>844.2</v>
      </c>
      <c r="M49" s="74">
        <f t="shared" si="16"/>
        <v>893.43999999999983</v>
      </c>
      <c r="N49" s="74">
        <f t="shared" si="16"/>
        <v>982.69000000000017</v>
      </c>
      <c r="O49" s="74">
        <f t="shared" si="16"/>
        <v>1122.6199999999999</v>
      </c>
      <c r="P49" s="74">
        <f t="shared" si="16"/>
        <v>990.76999999999987</v>
      </c>
      <c r="Q49" s="74">
        <f t="shared" si="16"/>
        <v>815.58999999999992</v>
      </c>
      <c r="R49" s="46">
        <f>SUM(F49:Q49)</f>
        <v>10169.764999999999</v>
      </c>
      <c r="S49" s="63">
        <f>+R49/R50</f>
        <v>0.64681866527238929</v>
      </c>
    </row>
    <row r="50" spans="1:21" ht="13.5" thickBot="1">
      <c r="B50" s="81" t="s">
        <v>270</v>
      </c>
      <c r="C50" s="82"/>
      <c r="D50" s="82"/>
      <c r="E50" s="82"/>
      <c r="F50" s="117">
        <v>1166.0399999999995</v>
      </c>
      <c r="G50" s="117">
        <v>1028.8200000000002</v>
      </c>
      <c r="H50" s="117">
        <v>1080.5900000000001</v>
      </c>
      <c r="I50" s="117">
        <v>1265.2549999999997</v>
      </c>
      <c r="J50" s="117">
        <v>1408.6799999999998</v>
      </c>
      <c r="K50" s="117">
        <v>1157.2</v>
      </c>
      <c r="L50" s="117">
        <v>1378.8999999999999</v>
      </c>
      <c r="M50" s="117">
        <v>1374</v>
      </c>
      <c r="N50" s="117">
        <v>1498.3600000000001</v>
      </c>
      <c r="O50" s="117">
        <v>1653.3699999999997</v>
      </c>
      <c r="P50" s="117">
        <v>1446.85</v>
      </c>
      <c r="Q50" s="117">
        <v>1264.6801</v>
      </c>
      <c r="R50" s="84">
        <f>SUM(R48:R49)</f>
        <v>15722.7451</v>
      </c>
      <c r="U50" s="91"/>
    </row>
    <row r="51" spans="1:21">
      <c r="F51" s="85">
        <f>+(F50-F$16)/F$16</f>
        <v>-6.780238500852207E-3</v>
      </c>
      <c r="G51" s="85">
        <f t="shared" ref="G51:R51" si="17">+(G50-G$16)/G$16</f>
        <v>-1.749271137024648E-4</v>
      </c>
      <c r="H51" s="85">
        <f t="shared" si="17"/>
        <v>1.178838951310875E-2</v>
      </c>
      <c r="I51" s="85">
        <f t="shared" si="17"/>
        <v>2.0158102766771097E-4</v>
      </c>
      <c r="J51" s="85">
        <f t="shared" si="17"/>
        <v>3.3333333333332169E-3</v>
      </c>
      <c r="K51" s="85">
        <f t="shared" si="17"/>
        <v>1.7286084701818969E-4</v>
      </c>
      <c r="L51" s="85">
        <f t="shared" si="17"/>
        <v>9.4436310395313791E-3</v>
      </c>
      <c r="M51" s="85">
        <f t="shared" si="17"/>
        <v>8.0704328686720464E-3</v>
      </c>
      <c r="N51" s="85">
        <f t="shared" si="17"/>
        <v>7.6395427034298101E-3</v>
      </c>
      <c r="O51" s="85">
        <f t="shared" si="17"/>
        <v>-0.40866595135908451</v>
      </c>
      <c r="P51" s="85">
        <f t="shared" si="17"/>
        <v>5.8782849239274483E-4</v>
      </c>
      <c r="Q51" s="85">
        <f t="shared" si="17"/>
        <v>5.3100953895071851E-3</v>
      </c>
      <c r="R51" s="85">
        <f t="shared" si="17"/>
        <v>-6.4845946588949016E-2</v>
      </c>
    </row>
    <row r="52" spans="1:21"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21">
      <c r="B53" s="38" t="s">
        <v>2</v>
      </c>
      <c r="F53" s="91">
        <f>F23+F24+F36+F48+F49</f>
        <v>4465.4268939962731</v>
      </c>
      <c r="G53" s="91">
        <f t="shared" ref="G53:R53" si="18">G23+G24+G36+G48+G49</f>
        <v>3827.9844500844015</v>
      </c>
      <c r="H53" s="91">
        <f t="shared" si="18"/>
        <v>4105.3866307704484</v>
      </c>
      <c r="I53" s="91">
        <f t="shared" si="18"/>
        <v>4518.158630362811</v>
      </c>
      <c r="J53" s="91">
        <f t="shared" si="18"/>
        <v>4812.9722647277786</v>
      </c>
      <c r="K53" s="91">
        <f t="shared" si="18"/>
        <v>4222.2099730440877</v>
      </c>
      <c r="L53" s="91">
        <f t="shared" si="18"/>
        <v>4812.7227901902579</v>
      </c>
      <c r="M53" s="91">
        <f t="shared" si="18"/>
        <v>4620.1900000000005</v>
      </c>
      <c r="N53" s="91">
        <f t="shared" si="18"/>
        <v>4747.3099999999995</v>
      </c>
      <c r="O53" s="91">
        <f>O23+O24+O36+O48+O49</f>
        <v>5036.87</v>
      </c>
      <c r="P53" s="91">
        <f t="shared" si="18"/>
        <v>4613.9799999999996</v>
      </c>
      <c r="Q53" s="91">
        <f t="shared" si="18"/>
        <v>4871.5142198953363</v>
      </c>
      <c r="R53" s="91">
        <f t="shared" si="18"/>
        <v>54654.725853071388</v>
      </c>
    </row>
    <row r="54" spans="1:21">
      <c r="B54" s="38" t="s">
        <v>3</v>
      </c>
      <c r="F54" s="91">
        <f>+F29+F40</f>
        <v>1424.1200855525963</v>
      </c>
      <c r="G54" s="91">
        <f t="shared" ref="G54:R54" si="19">+G29+G40</f>
        <v>1091.7349839847861</v>
      </c>
      <c r="H54" s="91">
        <f t="shared" si="19"/>
        <v>1175.9089264351619</v>
      </c>
      <c r="I54" s="91">
        <f t="shared" si="19"/>
        <v>1246.9885903624267</v>
      </c>
      <c r="J54" s="91">
        <f t="shared" si="19"/>
        <v>1285.3562534937028</v>
      </c>
      <c r="K54" s="91">
        <f t="shared" si="19"/>
        <v>1187.6393246432808</v>
      </c>
      <c r="L54" s="91">
        <f t="shared" si="19"/>
        <v>1352.7554738100876</v>
      </c>
      <c r="M54" s="91">
        <f t="shared" si="19"/>
        <v>1270.1889052607244</v>
      </c>
      <c r="N54" s="91">
        <f t="shared" si="19"/>
        <v>1280.2671501693503</v>
      </c>
      <c r="O54" s="91">
        <f t="shared" si="19"/>
        <v>1337.3537728243823</v>
      </c>
      <c r="P54" s="91">
        <f t="shared" si="19"/>
        <v>1257.6972940711246</v>
      </c>
      <c r="Q54" s="91">
        <f t="shared" si="19"/>
        <v>1543.2843087170713</v>
      </c>
      <c r="R54" s="91">
        <f t="shared" si="19"/>
        <v>15453.295069324695</v>
      </c>
    </row>
    <row r="55" spans="1:21" ht="13.5" thickBot="1">
      <c r="B55" s="38" t="s">
        <v>4</v>
      </c>
      <c r="F55" s="91">
        <f>F44</f>
        <v>428.71000000000004</v>
      </c>
      <c r="G55" s="91">
        <f t="shared" ref="G55:R55" si="20">G44</f>
        <v>474.4</v>
      </c>
      <c r="H55" s="91">
        <f t="shared" si="20"/>
        <v>957.71999999999991</v>
      </c>
      <c r="I55" s="91">
        <f t="shared" si="20"/>
        <v>1625.18</v>
      </c>
      <c r="J55" s="91">
        <f t="shared" si="20"/>
        <v>2020.37</v>
      </c>
      <c r="K55" s="91">
        <f t="shared" si="20"/>
        <v>1670.7</v>
      </c>
      <c r="L55" s="91">
        <f t="shared" si="20"/>
        <v>1423.32</v>
      </c>
      <c r="M55" s="91">
        <f t="shared" si="20"/>
        <v>965.82</v>
      </c>
      <c r="N55" s="91">
        <f t="shared" si="20"/>
        <v>1127.8699999999999</v>
      </c>
      <c r="O55" s="91">
        <f t="shared" si="20"/>
        <v>1296.3600000000001</v>
      </c>
      <c r="P55" s="91">
        <f t="shared" si="20"/>
        <v>1496.3500000000001</v>
      </c>
      <c r="Q55" s="91">
        <f t="shared" si="20"/>
        <v>550.22</v>
      </c>
      <c r="R55" s="91">
        <f t="shared" si="20"/>
        <v>14037.02</v>
      </c>
      <c r="S55" s="59"/>
    </row>
    <row r="56" spans="1:21" ht="13.5" thickBot="1">
      <c r="A56" s="81" t="s">
        <v>271</v>
      </c>
      <c r="B56" s="82"/>
      <c r="C56" s="82"/>
      <c r="D56" s="82"/>
      <c r="E56" s="82"/>
      <c r="F56" s="92">
        <f>SUM(F53:F55)</f>
        <v>6318.2569795488698</v>
      </c>
      <c r="G56" s="92">
        <f t="shared" ref="G56:R56" si="21">SUM(G53:G55)</f>
        <v>5394.1194340691873</v>
      </c>
      <c r="H56" s="92">
        <f t="shared" si="21"/>
        <v>6239.015557205611</v>
      </c>
      <c r="I56" s="92">
        <f t="shared" si="21"/>
        <v>7390.3272207252376</v>
      </c>
      <c r="J56" s="92">
        <f t="shared" si="21"/>
        <v>8118.6985182214812</v>
      </c>
      <c r="K56" s="92">
        <f t="shared" si="21"/>
        <v>7080.5492976873684</v>
      </c>
      <c r="L56" s="92">
        <f t="shared" si="21"/>
        <v>7588.7982640003447</v>
      </c>
      <c r="M56" s="92">
        <f t="shared" si="21"/>
        <v>6856.1989052607241</v>
      </c>
      <c r="N56" s="92">
        <f t="shared" si="21"/>
        <v>7155.4471501693497</v>
      </c>
      <c r="O56" s="92">
        <f>SUM(O53:O55)</f>
        <v>7670.5837728243823</v>
      </c>
      <c r="P56" s="92">
        <f t="shared" si="21"/>
        <v>7368.0272940711247</v>
      </c>
      <c r="Q56" s="92">
        <f t="shared" si="21"/>
        <v>6965.0185286124079</v>
      </c>
      <c r="R56" s="93">
        <f t="shared" si="21"/>
        <v>84145.040922396089</v>
      </c>
    </row>
    <row r="58" spans="1:21">
      <c r="B58" s="37" t="s">
        <v>272</v>
      </c>
    </row>
    <row r="59" spans="1:21">
      <c r="C59" s="37" t="s">
        <v>0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21">
      <c r="D60" s="38" t="s">
        <v>259</v>
      </c>
      <c r="F60" s="46">
        <f t="shared" ref="F60:R60" si="22">F23</f>
        <v>1045.3888117519973</v>
      </c>
      <c r="G60" s="46">
        <f t="shared" si="22"/>
        <v>894.42035378271362</v>
      </c>
      <c r="H60" s="46">
        <f t="shared" si="22"/>
        <v>981.83721562384426</v>
      </c>
      <c r="I60" s="46">
        <f t="shared" si="22"/>
        <v>1061.3374704031185</v>
      </c>
      <c r="J60" s="46">
        <f t="shared" si="22"/>
        <v>1099.5818643543321</v>
      </c>
      <c r="K60" s="46">
        <f t="shared" si="22"/>
        <v>980.69728461480508</v>
      </c>
      <c r="L60" s="46">
        <f t="shared" si="22"/>
        <v>1081.5607959648096</v>
      </c>
      <c r="M60" s="46">
        <f t="shared" si="22"/>
        <v>1022.7884949896388</v>
      </c>
      <c r="N60" s="46">
        <f t="shared" si="22"/>
        <v>1036.7453150596023</v>
      </c>
      <c r="O60" s="46">
        <f t="shared" si="22"/>
        <v>1077.2464403945023</v>
      </c>
      <c r="P60" s="46">
        <f t="shared" si="22"/>
        <v>1013.7488414086619</v>
      </c>
      <c r="Q60" s="46">
        <f t="shared" si="22"/>
        <v>819.01347525913536</v>
      </c>
      <c r="R60" s="46">
        <f t="shared" si="22"/>
        <v>12114.36636360716</v>
      </c>
    </row>
    <row r="61" spans="1:21">
      <c r="D61" s="38" t="s">
        <v>273</v>
      </c>
      <c r="F61" s="46">
        <f t="shared" ref="F61:R61" si="23">F27</f>
        <v>100.85609840812067</v>
      </c>
      <c r="G61" s="46">
        <f t="shared" si="23"/>
        <v>83.872902550588492</v>
      </c>
      <c r="H61" s="46">
        <f t="shared" si="23"/>
        <v>94.581957061987808</v>
      </c>
      <c r="I61" s="46">
        <f t="shared" si="23"/>
        <v>91.987862649744756</v>
      </c>
      <c r="J61" s="46">
        <f t="shared" si="23"/>
        <v>89.777428370450295</v>
      </c>
      <c r="K61" s="46">
        <f t="shared" si="23"/>
        <v>80.444828481661901</v>
      </c>
      <c r="L61" s="46">
        <f t="shared" si="23"/>
        <v>96.10182156113305</v>
      </c>
      <c r="M61" s="46">
        <f t="shared" si="23"/>
        <v>94.192624232310308</v>
      </c>
      <c r="N61" s="46">
        <f t="shared" si="23"/>
        <v>92.895398456843722</v>
      </c>
      <c r="O61" s="46">
        <f t="shared" si="23"/>
        <v>101.5070411820424</v>
      </c>
      <c r="P61" s="46">
        <f t="shared" si="23"/>
        <v>93.355223530329766</v>
      </c>
      <c r="Q61" s="46">
        <f t="shared" si="23"/>
        <v>38.914908601148682</v>
      </c>
      <c r="R61" s="46">
        <f t="shared" si="23"/>
        <v>1058.4880950863619</v>
      </c>
    </row>
    <row r="62" spans="1:21">
      <c r="C62" s="37" t="s">
        <v>265</v>
      </c>
      <c r="D62" s="37"/>
      <c r="E62" s="37"/>
      <c r="F62" s="94">
        <f t="shared" ref="F62:R62" si="24">SUM(F60:F61)</f>
        <v>1146.244910160118</v>
      </c>
      <c r="G62" s="94">
        <f t="shared" si="24"/>
        <v>978.29325633330211</v>
      </c>
      <c r="H62" s="94">
        <f t="shared" si="24"/>
        <v>1076.4191726858321</v>
      </c>
      <c r="I62" s="94">
        <f t="shared" si="24"/>
        <v>1153.3253330528632</v>
      </c>
      <c r="J62" s="94">
        <f t="shared" si="24"/>
        <v>1189.3592927247823</v>
      </c>
      <c r="K62" s="94">
        <f t="shared" si="24"/>
        <v>1061.142113096467</v>
      </c>
      <c r="L62" s="94">
        <f t="shared" si="24"/>
        <v>1177.6626175259426</v>
      </c>
      <c r="M62" s="94">
        <f t="shared" si="24"/>
        <v>1116.981119221949</v>
      </c>
      <c r="N62" s="94">
        <f t="shared" si="24"/>
        <v>1129.6407135164459</v>
      </c>
      <c r="O62" s="94">
        <f t="shared" si="24"/>
        <v>1178.7534815765448</v>
      </c>
      <c r="P62" s="94">
        <f t="shared" si="24"/>
        <v>1107.1040649389915</v>
      </c>
      <c r="Q62" s="94">
        <f t="shared" si="24"/>
        <v>857.92838386028404</v>
      </c>
      <c r="R62" s="94">
        <f t="shared" si="24"/>
        <v>13172.854458693522</v>
      </c>
    </row>
    <row r="63" spans="1:21" ht="7.5" customHeight="1">
      <c r="C63" s="37"/>
      <c r="D63" s="37"/>
      <c r="E63" s="37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21">
      <c r="C64" s="37" t="s">
        <v>1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>
      <c r="D65" s="38" t="s">
        <v>259</v>
      </c>
      <c r="F65" s="46">
        <f t="shared" ref="F65:R65" si="25">F34</f>
        <v>955.81758110173223</v>
      </c>
      <c r="G65" s="46">
        <f t="shared" si="25"/>
        <v>792.39637219668282</v>
      </c>
      <c r="H65" s="46">
        <f t="shared" si="25"/>
        <v>836.04830530719914</v>
      </c>
      <c r="I65" s="46">
        <f t="shared" si="25"/>
        <v>926.60048134276826</v>
      </c>
      <c r="J65" s="46">
        <f t="shared" si="25"/>
        <v>962.55682761104492</v>
      </c>
      <c r="K65" s="46">
        <f t="shared" si="25"/>
        <v>889.99123405035095</v>
      </c>
      <c r="L65" s="46">
        <f t="shared" si="25"/>
        <v>1049.8326733170538</v>
      </c>
      <c r="M65" s="46">
        <f t="shared" si="25"/>
        <v>954.42608164853084</v>
      </c>
      <c r="N65" s="46">
        <f t="shared" si="25"/>
        <v>956.93564510885631</v>
      </c>
      <c r="O65" s="46">
        <f t="shared" si="25"/>
        <v>948.73854334006614</v>
      </c>
      <c r="P65" s="46">
        <f t="shared" si="25"/>
        <v>895.2575241017139</v>
      </c>
      <c r="Q65" s="46">
        <f t="shared" si="25"/>
        <v>948.11557032637404</v>
      </c>
      <c r="R65" s="46">
        <f t="shared" si="25"/>
        <v>11116.716839452374</v>
      </c>
    </row>
    <row r="66" spans="1:18">
      <c r="D66" s="38" t="s">
        <v>262</v>
      </c>
      <c r="F66" s="46">
        <f t="shared" ref="F66:R66" si="26">F38</f>
        <v>582.06808336712038</v>
      </c>
      <c r="G66" s="46">
        <f t="shared" si="26"/>
        <v>439.74011691378394</v>
      </c>
      <c r="H66" s="46">
        <f t="shared" si="26"/>
        <v>468.85468865090411</v>
      </c>
      <c r="I66" s="46">
        <f t="shared" si="26"/>
        <v>516.48440640406704</v>
      </c>
      <c r="J66" s="46">
        <f t="shared" si="26"/>
        <v>498.90250284396723</v>
      </c>
      <c r="K66" s="46">
        <f t="shared" si="26"/>
        <v>487.70665406425326</v>
      </c>
      <c r="L66" s="46">
        <f t="shared" si="26"/>
        <v>553.2508605580864</v>
      </c>
      <c r="M66" s="46">
        <f t="shared" si="26"/>
        <v>491.40334109247345</v>
      </c>
      <c r="N66" s="46">
        <f t="shared" si="26"/>
        <v>518.0133602932475</v>
      </c>
      <c r="O66" s="46">
        <f t="shared" si="26"/>
        <v>512.52499825592497</v>
      </c>
      <c r="P66" s="46">
        <f t="shared" si="26"/>
        <v>496.87178473738732</v>
      </c>
      <c r="Q66" s="46">
        <f t="shared" si="26"/>
        <v>575.93364543048369</v>
      </c>
      <c r="R66" s="46">
        <f t="shared" si="26"/>
        <v>6141.7544426117001</v>
      </c>
    </row>
    <row r="67" spans="1:18">
      <c r="D67" s="38" t="s">
        <v>268</v>
      </c>
      <c r="F67" s="46">
        <f t="shared" ref="F67:R67" si="27">F42</f>
        <v>400.62</v>
      </c>
      <c r="G67" s="46">
        <f t="shared" si="27"/>
        <v>448.70000000000005</v>
      </c>
      <c r="H67" s="46">
        <f t="shared" si="27"/>
        <v>785.88</v>
      </c>
      <c r="I67" s="46">
        <f t="shared" si="27"/>
        <v>1249.28</v>
      </c>
      <c r="J67" s="46">
        <f t="shared" si="27"/>
        <v>1516.47</v>
      </c>
      <c r="K67" s="46">
        <f t="shared" si="27"/>
        <v>1246.51</v>
      </c>
      <c r="L67" s="46">
        <f t="shared" si="27"/>
        <v>1110.73</v>
      </c>
      <c r="M67" s="46">
        <f t="shared" si="27"/>
        <v>747.5</v>
      </c>
      <c r="N67" s="46">
        <f t="shared" si="27"/>
        <v>903.67000000000007</v>
      </c>
      <c r="O67" s="46">
        <f t="shared" si="27"/>
        <v>1070.25</v>
      </c>
      <c r="P67" s="46">
        <f t="shared" si="27"/>
        <v>1273.55</v>
      </c>
      <c r="Q67" s="46">
        <f t="shared" si="27"/>
        <v>493.34999999999997</v>
      </c>
      <c r="R67" s="46">
        <f t="shared" si="27"/>
        <v>11246.51</v>
      </c>
    </row>
    <row r="68" spans="1:18">
      <c r="B68" s="37"/>
      <c r="C68" s="37" t="s">
        <v>269</v>
      </c>
      <c r="D68" s="37"/>
      <c r="E68" s="37"/>
      <c r="F68" s="94">
        <f t="shared" ref="F68:R68" si="28">SUM(F65:F67)</f>
        <v>1938.5056644688525</v>
      </c>
      <c r="G68" s="94">
        <f t="shared" si="28"/>
        <v>1680.8364891104668</v>
      </c>
      <c r="H68" s="94">
        <f t="shared" si="28"/>
        <v>2090.7829939581034</v>
      </c>
      <c r="I68" s="94">
        <f t="shared" si="28"/>
        <v>2692.3648877468349</v>
      </c>
      <c r="J68" s="94">
        <f t="shared" si="28"/>
        <v>2977.929330455012</v>
      </c>
      <c r="K68" s="94">
        <f t="shared" si="28"/>
        <v>2624.2078881146044</v>
      </c>
      <c r="L68" s="94">
        <f t="shared" si="28"/>
        <v>2713.8135338751404</v>
      </c>
      <c r="M68" s="94">
        <f t="shared" si="28"/>
        <v>2193.3294227410042</v>
      </c>
      <c r="N68" s="94">
        <f t="shared" si="28"/>
        <v>2378.619005402104</v>
      </c>
      <c r="O68" s="94">
        <f t="shared" si="28"/>
        <v>2531.5135415959912</v>
      </c>
      <c r="P68" s="94">
        <f t="shared" si="28"/>
        <v>2665.6793088391014</v>
      </c>
      <c r="Q68" s="94">
        <f t="shared" si="28"/>
        <v>2017.3992157568578</v>
      </c>
      <c r="R68" s="94">
        <f t="shared" si="28"/>
        <v>28504.981282064073</v>
      </c>
    </row>
    <row r="69" spans="1:18" ht="7.5" customHeight="1">
      <c r="C69" s="37"/>
      <c r="D69" s="37"/>
      <c r="E69" s="37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</row>
    <row r="70" spans="1:18">
      <c r="C70" s="37" t="s">
        <v>257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18">
      <c r="D71" s="38" t="s">
        <v>259</v>
      </c>
      <c r="F71" s="46">
        <f>F48</f>
        <v>451.74999999999994</v>
      </c>
      <c r="G71" s="46">
        <f t="shared" ref="G71:R71" si="29">G48</f>
        <v>354.34000000000015</v>
      </c>
      <c r="H71" s="46">
        <f t="shared" si="29"/>
        <v>388.8900000000001</v>
      </c>
      <c r="I71" s="46">
        <f t="shared" si="29"/>
        <v>476.99999999999989</v>
      </c>
      <c r="J71" s="46">
        <f t="shared" si="29"/>
        <v>473.41999999999996</v>
      </c>
      <c r="K71" s="46">
        <f t="shared" si="29"/>
        <v>440.73</v>
      </c>
      <c r="L71" s="46">
        <f t="shared" si="29"/>
        <v>534.69999999999982</v>
      </c>
      <c r="M71" s="46">
        <f t="shared" si="29"/>
        <v>480.56000000000017</v>
      </c>
      <c r="N71" s="46">
        <f t="shared" si="29"/>
        <v>515.66999999999996</v>
      </c>
      <c r="O71" s="46">
        <f t="shared" si="29"/>
        <v>530.74999999999989</v>
      </c>
      <c r="P71" s="46">
        <f t="shared" si="29"/>
        <v>456.08000000000004</v>
      </c>
      <c r="Q71" s="46">
        <f t="shared" si="29"/>
        <v>449.09010000000006</v>
      </c>
      <c r="R71" s="46">
        <f t="shared" si="29"/>
        <v>5552.9801000000007</v>
      </c>
    </row>
    <row r="72" spans="1:18" s="37" customFormat="1">
      <c r="C72" s="37" t="s">
        <v>270</v>
      </c>
      <c r="F72" s="94">
        <f t="shared" ref="F72:R72" si="30">SUM(F71)</f>
        <v>451.74999999999994</v>
      </c>
      <c r="G72" s="94">
        <f t="shared" si="30"/>
        <v>354.34000000000015</v>
      </c>
      <c r="H72" s="94">
        <f t="shared" si="30"/>
        <v>388.8900000000001</v>
      </c>
      <c r="I72" s="94">
        <f t="shared" si="30"/>
        <v>476.99999999999989</v>
      </c>
      <c r="J72" s="94">
        <f t="shared" si="30"/>
        <v>473.41999999999996</v>
      </c>
      <c r="K72" s="94">
        <f t="shared" si="30"/>
        <v>440.73</v>
      </c>
      <c r="L72" s="94">
        <f t="shared" si="30"/>
        <v>534.69999999999982</v>
      </c>
      <c r="M72" s="94">
        <f t="shared" si="30"/>
        <v>480.56000000000017</v>
      </c>
      <c r="N72" s="94">
        <f t="shared" si="30"/>
        <v>515.66999999999996</v>
      </c>
      <c r="O72" s="94">
        <f t="shared" si="30"/>
        <v>530.74999999999989</v>
      </c>
      <c r="P72" s="94">
        <f t="shared" si="30"/>
        <v>456.08000000000004</v>
      </c>
      <c r="Q72" s="94">
        <f t="shared" si="30"/>
        <v>449.09010000000006</v>
      </c>
      <c r="R72" s="94">
        <f t="shared" si="30"/>
        <v>5552.9801000000007</v>
      </c>
    </row>
    <row r="73" spans="1:18" ht="7.5" customHeight="1" thickBot="1">
      <c r="C73" s="37"/>
      <c r="D73" s="37"/>
      <c r="E73" s="37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1:18" ht="13.5" thickBot="1">
      <c r="B74" s="81" t="s">
        <v>272</v>
      </c>
      <c r="C74" s="82"/>
      <c r="D74" s="82"/>
      <c r="E74" s="82"/>
      <c r="F74" s="83">
        <f t="shared" ref="F74:R74" si="31">F62+F68+F72</f>
        <v>3536.5005746289708</v>
      </c>
      <c r="G74" s="83">
        <f t="shared" si="31"/>
        <v>3013.4697454437692</v>
      </c>
      <c r="H74" s="83">
        <f t="shared" si="31"/>
        <v>3556.0921666439353</v>
      </c>
      <c r="I74" s="83">
        <f t="shared" si="31"/>
        <v>4322.6902207996982</v>
      </c>
      <c r="J74" s="83">
        <f t="shared" si="31"/>
        <v>4640.7086231797948</v>
      </c>
      <c r="K74" s="83">
        <f t="shared" si="31"/>
        <v>4126.0800012110722</v>
      </c>
      <c r="L74" s="83">
        <f t="shared" si="31"/>
        <v>4426.1761514010832</v>
      </c>
      <c r="M74" s="83">
        <f t="shared" si="31"/>
        <v>3790.8705419629532</v>
      </c>
      <c r="N74" s="83">
        <f t="shared" si="31"/>
        <v>4023.92971891855</v>
      </c>
      <c r="O74" s="83">
        <f t="shared" si="31"/>
        <v>4241.017023172536</v>
      </c>
      <c r="P74" s="83">
        <f t="shared" si="31"/>
        <v>4228.8633737780929</v>
      </c>
      <c r="Q74" s="83">
        <f t="shared" si="31"/>
        <v>3324.4176996171418</v>
      </c>
      <c r="R74" s="84">
        <f t="shared" si="31"/>
        <v>47230.815840757597</v>
      </c>
    </row>
    <row r="77" spans="1:18" ht="18">
      <c r="A77" s="44" t="s">
        <v>5</v>
      </c>
    </row>
    <row r="78" spans="1:18">
      <c r="E78" s="37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46"/>
    </row>
    <row r="79" spans="1:18">
      <c r="B79" s="38" t="s">
        <v>0</v>
      </c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46"/>
    </row>
    <row r="80" spans="1:18">
      <c r="C80" s="38" t="s">
        <v>260</v>
      </c>
      <c r="F80" s="96">
        <v>105</v>
      </c>
      <c r="G80" s="96">
        <f>F80</f>
        <v>105</v>
      </c>
      <c r="H80" s="96">
        <f t="shared" ref="H80:Q80" si="32">G80</f>
        <v>105</v>
      </c>
      <c r="I80" s="96">
        <f t="shared" si="32"/>
        <v>105</v>
      </c>
      <c r="J80" s="96">
        <f t="shared" si="32"/>
        <v>105</v>
      </c>
      <c r="K80" s="96">
        <f t="shared" si="32"/>
        <v>105</v>
      </c>
      <c r="L80" s="96">
        <f t="shared" si="32"/>
        <v>105</v>
      </c>
      <c r="M80" s="96">
        <f t="shared" si="32"/>
        <v>105</v>
      </c>
      <c r="N80" s="96">
        <f t="shared" si="32"/>
        <v>105</v>
      </c>
      <c r="O80" s="96">
        <f t="shared" si="32"/>
        <v>105</v>
      </c>
      <c r="P80" s="96">
        <f t="shared" si="32"/>
        <v>105</v>
      </c>
      <c r="Q80" s="96">
        <f t="shared" si="32"/>
        <v>105</v>
      </c>
      <c r="R80" s="97">
        <f>AVERAGE(F80:Q80)</f>
        <v>105</v>
      </c>
    </row>
    <row r="81" spans="2:18">
      <c r="C81" s="38" t="s">
        <v>261</v>
      </c>
      <c r="F81" s="96">
        <f>F80</f>
        <v>105</v>
      </c>
      <c r="G81" s="96">
        <f t="shared" ref="G81:Q81" si="33">G80</f>
        <v>105</v>
      </c>
      <c r="H81" s="96">
        <f t="shared" si="33"/>
        <v>105</v>
      </c>
      <c r="I81" s="96">
        <f t="shared" si="33"/>
        <v>105</v>
      </c>
      <c r="J81" s="96">
        <f t="shared" si="33"/>
        <v>105</v>
      </c>
      <c r="K81" s="96">
        <f t="shared" si="33"/>
        <v>105</v>
      </c>
      <c r="L81" s="96">
        <f t="shared" si="33"/>
        <v>105</v>
      </c>
      <c r="M81" s="96">
        <f t="shared" si="33"/>
        <v>105</v>
      </c>
      <c r="N81" s="96">
        <f t="shared" si="33"/>
        <v>105</v>
      </c>
      <c r="O81" s="96">
        <f t="shared" si="33"/>
        <v>105</v>
      </c>
      <c r="P81" s="96">
        <f t="shared" si="33"/>
        <v>105</v>
      </c>
      <c r="Q81" s="96">
        <f t="shared" si="33"/>
        <v>105</v>
      </c>
      <c r="R81" s="97">
        <f>AVERAGE(F81:Q81)</f>
        <v>105</v>
      </c>
    </row>
    <row r="82" spans="2:18">
      <c r="C82" s="60" t="s">
        <v>274</v>
      </c>
      <c r="F82" s="96">
        <v>68.39</v>
      </c>
      <c r="G82" s="96">
        <v>68.39</v>
      </c>
      <c r="H82" s="96">
        <v>68.39</v>
      </c>
      <c r="I82" s="96">
        <v>68.39</v>
      </c>
      <c r="J82" s="96">
        <v>68.39</v>
      </c>
      <c r="K82" s="96">
        <v>68.39</v>
      </c>
      <c r="L82" s="96">
        <v>68.39</v>
      </c>
      <c r="M82" s="96">
        <v>68.39</v>
      </c>
      <c r="N82" s="96">
        <v>68.39</v>
      </c>
      <c r="O82" s="96">
        <v>68.39</v>
      </c>
      <c r="P82" s="96">
        <v>68.39</v>
      </c>
      <c r="Q82" s="96">
        <v>68.39</v>
      </c>
      <c r="R82" s="97">
        <f>AVERAGE(F82:Q82)</f>
        <v>68.39</v>
      </c>
    </row>
    <row r="83" spans="2:18">
      <c r="C83" s="38" t="s">
        <v>275</v>
      </c>
      <c r="F83" s="98">
        <f>F82</f>
        <v>68.39</v>
      </c>
      <c r="G83" s="98">
        <f t="shared" ref="G83:Q83" si="34">G82</f>
        <v>68.39</v>
      </c>
      <c r="H83" s="98">
        <f t="shared" si="34"/>
        <v>68.39</v>
      </c>
      <c r="I83" s="98">
        <f t="shared" si="34"/>
        <v>68.39</v>
      </c>
      <c r="J83" s="98">
        <f t="shared" si="34"/>
        <v>68.39</v>
      </c>
      <c r="K83" s="98">
        <f t="shared" si="34"/>
        <v>68.39</v>
      </c>
      <c r="L83" s="98">
        <f t="shared" si="34"/>
        <v>68.39</v>
      </c>
      <c r="M83" s="98">
        <f t="shared" si="34"/>
        <v>68.39</v>
      </c>
      <c r="N83" s="98">
        <f t="shared" si="34"/>
        <v>68.39</v>
      </c>
      <c r="O83" s="98">
        <f t="shared" si="34"/>
        <v>68.39</v>
      </c>
      <c r="P83" s="98">
        <f t="shared" si="34"/>
        <v>68.39</v>
      </c>
      <c r="Q83" s="98">
        <f t="shared" si="34"/>
        <v>68.39</v>
      </c>
      <c r="R83" s="97">
        <f>AVERAGE(F83:Q83)</f>
        <v>68.39</v>
      </c>
    </row>
    <row r="84" spans="2:18">
      <c r="C84" s="38" t="s">
        <v>276</v>
      </c>
      <c r="F84" s="98">
        <v>51.81</v>
      </c>
      <c r="G84" s="98">
        <v>51.81</v>
      </c>
      <c r="H84" s="98">
        <v>51.81</v>
      </c>
      <c r="I84" s="98">
        <v>51.81</v>
      </c>
      <c r="J84" s="98">
        <v>51.81</v>
      </c>
      <c r="K84" s="98">
        <v>51.81</v>
      </c>
      <c r="L84" s="98">
        <v>51.81</v>
      </c>
      <c r="M84" s="98">
        <v>51.81</v>
      </c>
      <c r="N84" s="98">
        <v>51.81</v>
      </c>
      <c r="O84" s="98">
        <v>51.81</v>
      </c>
      <c r="P84" s="98">
        <v>51.81</v>
      </c>
      <c r="Q84" s="98">
        <v>51.81</v>
      </c>
      <c r="R84" s="97">
        <f>AVERAGE(F84:Q84)</f>
        <v>51.81</v>
      </c>
    </row>
    <row r="85" spans="2:18">
      <c r="B85" s="38" t="s">
        <v>265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8"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2:18">
      <c r="B87" s="38" t="s">
        <v>1</v>
      </c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2:18">
      <c r="C88" s="38" t="s">
        <v>259</v>
      </c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2:18">
      <c r="D89" s="38" t="s">
        <v>266</v>
      </c>
      <c r="F89" s="96">
        <f>F80</f>
        <v>105</v>
      </c>
      <c r="G89" s="96">
        <f t="shared" ref="G89:Q89" si="35">G80</f>
        <v>105</v>
      </c>
      <c r="H89" s="96">
        <f t="shared" si="35"/>
        <v>105</v>
      </c>
      <c r="I89" s="96">
        <f t="shared" si="35"/>
        <v>105</v>
      </c>
      <c r="J89" s="96">
        <f t="shared" si="35"/>
        <v>105</v>
      </c>
      <c r="K89" s="96">
        <f t="shared" si="35"/>
        <v>105</v>
      </c>
      <c r="L89" s="96">
        <f t="shared" si="35"/>
        <v>105</v>
      </c>
      <c r="M89" s="96">
        <f t="shared" si="35"/>
        <v>105</v>
      </c>
      <c r="N89" s="96">
        <f t="shared" si="35"/>
        <v>105</v>
      </c>
      <c r="O89" s="96">
        <f t="shared" si="35"/>
        <v>105</v>
      </c>
      <c r="P89" s="96">
        <f t="shared" si="35"/>
        <v>105</v>
      </c>
      <c r="Q89" s="96">
        <f t="shared" si="35"/>
        <v>105</v>
      </c>
      <c r="R89" s="99">
        <f>AVERAGE(F89:Q89)</f>
        <v>105</v>
      </c>
    </row>
    <row r="90" spans="2:18">
      <c r="D90" s="38" t="s">
        <v>267</v>
      </c>
      <c r="F90" s="96">
        <f>F80</f>
        <v>105</v>
      </c>
      <c r="G90" s="96">
        <f t="shared" ref="G90:Q90" si="36">G80</f>
        <v>105</v>
      </c>
      <c r="H90" s="96">
        <f t="shared" si="36"/>
        <v>105</v>
      </c>
      <c r="I90" s="96">
        <f t="shared" si="36"/>
        <v>105</v>
      </c>
      <c r="J90" s="96">
        <f t="shared" si="36"/>
        <v>105</v>
      </c>
      <c r="K90" s="96">
        <f t="shared" si="36"/>
        <v>105</v>
      </c>
      <c r="L90" s="96">
        <f t="shared" si="36"/>
        <v>105</v>
      </c>
      <c r="M90" s="96">
        <f t="shared" si="36"/>
        <v>105</v>
      </c>
      <c r="N90" s="96">
        <f t="shared" si="36"/>
        <v>105</v>
      </c>
      <c r="O90" s="96">
        <f t="shared" si="36"/>
        <v>105</v>
      </c>
      <c r="P90" s="96">
        <f t="shared" si="36"/>
        <v>105</v>
      </c>
      <c r="Q90" s="96">
        <f t="shared" si="36"/>
        <v>105</v>
      </c>
      <c r="R90" s="99">
        <f>AVERAGE(F90:Q90)</f>
        <v>105</v>
      </c>
    </row>
    <row r="91" spans="2:18">
      <c r="C91" s="38" t="s">
        <v>2</v>
      </c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</row>
    <row r="92" spans="2:18">
      <c r="C92" s="38" t="s">
        <v>262</v>
      </c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</row>
    <row r="93" spans="2:18">
      <c r="D93" s="38" t="s">
        <v>277</v>
      </c>
      <c r="F93" s="102">
        <f>F82</f>
        <v>68.39</v>
      </c>
      <c r="G93" s="102">
        <f t="shared" ref="G93:Q93" si="37">G82</f>
        <v>68.39</v>
      </c>
      <c r="H93" s="102">
        <f t="shared" si="37"/>
        <v>68.39</v>
      </c>
      <c r="I93" s="102">
        <f t="shared" si="37"/>
        <v>68.39</v>
      </c>
      <c r="J93" s="102">
        <f t="shared" si="37"/>
        <v>68.39</v>
      </c>
      <c r="K93" s="102">
        <f t="shared" si="37"/>
        <v>68.39</v>
      </c>
      <c r="L93" s="102">
        <f t="shared" si="37"/>
        <v>68.39</v>
      </c>
      <c r="M93" s="102">
        <f t="shared" si="37"/>
        <v>68.39</v>
      </c>
      <c r="N93" s="102">
        <f t="shared" si="37"/>
        <v>68.39</v>
      </c>
      <c r="O93" s="102">
        <f t="shared" si="37"/>
        <v>68.39</v>
      </c>
      <c r="P93" s="102">
        <f t="shared" si="37"/>
        <v>68.39</v>
      </c>
      <c r="Q93" s="102">
        <f t="shared" si="37"/>
        <v>68.39</v>
      </c>
      <c r="R93" s="99">
        <f>AVERAGE(F93:Q93)</f>
        <v>68.39</v>
      </c>
    </row>
    <row r="94" spans="2:18">
      <c r="D94" s="38" t="s">
        <v>267</v>
      </c>
      <c r="F94" s="102">
        <f>F82</f>
        <v>68.39</v>
      </c>
      <c r="G94" s="102">
        <f t="shared" ref="G94:Q94" si="38">G82</f>
        <v>68.39</v>
      </c>
      <c r="H94" s="102">
        <f t="shared" si="38"/>
        <v>68.39</v>
      </c>
      <c r="I94" s="102">
        <f t="shared" si="38"/>
        <v>68.39</v>
      </c>
      <c r="J94" s="102">
        <f t="shared" si="38"/>
        <v>68.39</v>
      </c>
      <c r="K94" s="102">
        <f t="shared" si="38"/>
        <v>68.39</v>
      </c>
      <c r="L94" s="102">
        <f t="shared" si="38"/>
        <v>68.39</v>
      </c>
      <c r="M94" s="102">
        <f t="shared" si="38"/>
        <v>68.39</v>
      </c>
      <c r="N94" s="102">
        <f t="shared" si="38"/>
        <v>68.39</v>
      </c>
      <c r="O94" s="102">
        <f t="shared" si="38"/>
        <v>68.39</v>
      </c>
      <c r="P94" s="102">
        <f t="shared" si="38"/>
        <v>68.39</v>
      </c>
      <c r="Q94" s="102">
        <f t="shared" si="38"/>
        <v>68.39</v>
      </c>
      <c r="R94" s="99">
        <f>AVERAGE(F94:Q94)</f>
        <v>68.39</v>
      </c>
    </row>
    <row r="95" spans="2:18">
      <c r="C95" s="38" t="s">
        <v>3</v>
      </c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</row>
    <row r="96" spans="2:18">
      <c r="C96" s="38" t="s">
        <v>268</v>
      </c>
      <c r="E96" s="103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</row>
    <row r="97" spans="1:18">
      <c r="D97" s="38" t="s">
        <v>266</v>
      </c>
      <c r="F97" s="104">
        <v>33.369970376245014</v>
      </c>
      <c r="G97" s="104">
        <v>33.370025295109606</v>
      </c>
      <c r="H97" s="104">
        <v>33.720137409681335</v>
      </c>
      <c r="I97" s="104">
        <v>33.999999999999993</v>
      </c>
      <c r="J97" s="104">
        <v>33.999999999999993</v>
      </c>
      <c r="K97" s="104">
        <v>34</v>
      </c>
      <c r="L97" s="104">
        <v>34</v>
      </c>
      <c r="M97" s="104">
        <v>34</v>
      </c>
      <c r="N97" s="104">
        <v>34</v>
      </c>
      <c r="O97" s="104">
        <v>33.999999999999993</v>
      </c>
      <c r="P97" s="104">
        <v>34</v>
      </c>
      <c r="Q97" s="104">
        <v>35.835011449965464</v>
      </c>
      <c r="R97" s="105">
        <f>'[1]Yardwaste Analysis'!O21</f>
        <v>34.012301043953777</v>
      </c>
    </row>
    <row r="98" spans="1:18">
      <c r="D98" s="38" t="s">
        <v>267</v>
      </c>
      <c r="F98" s="104">
        <v>33.369970376245014</v>
      </c>
      <c r="G98" s="104">
        <v>33.370025295109606</v>
      </c>
      <c r="H98" s="104">
        <v>33.720137409681335</v>
      </c>
      <c r="I98" s="104">
        <v>33.999999999999993</v>
      </c>
      <c r="J98" s="104">
        <v>33.999999999999993</v>
      </c>
      <c r="K98" s="104">
        <v>34</v>
      </c>
      <c r="L98" s="104">
        <v>34</v>
      </c>
      <c r="M98" s="104">
        <v>34</v>
      </c>
      <c r="N98" s="104">
        <v>34</v>
      </c>
      <c r="O98" s="104">
        <v>33.999999999999993</v>
      </c>
      <c r="P98" s="104">
        <v>34</v>
      </c>
      <c r="Q98" s="104">
        <v>35.835011449965464</v>
      </c>
      <c r="R98" s="105">
        <f t="shared" ref="R98" si="39">R97</f>
        <v>34.012301043953777</v>
      </c>
    </row>
    <row r="99" spans="1:18">
      <c r="C99" s="38" t="s">
        <v>4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</row>
    <row r="100" spans="1:18">
      <c r="B100" s="38" t="s">
        <v>269</v>
      </c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</row>
    <row r="101" spans="1:18"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</row>
    <row r="102" spans="1:18">
      <c r="B102" s="38" t="s">
        <v>257</v>
      </c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</row>
    <row r="103" spans="1:18">
      <c r="C103" s="38" t="s">
        <v>260</v>
      </c>
      <c r="F103" s="96">
        <f>F80</f>
        <v>105</v>
      </c>
      <c r="G103" s="96">
        <f t="shared" ref="G103:Q103" si="40">G80</f>
        <v>105</v>
      </c>
      <c r="H103" s="96">
        <f t="shared" si="40"/>
        <v>105</v>
      </c>
      <c r="I103" s="96">
        <f t="shared" si="40"/>
        <v>105</v>
      </c>
      <c r="J103" s="96">
        <f t="shared" si="40"/>
        <v>105</v>
      </c>
      <c r="K103" s="96">
        <f t="shared" si="40"/>
        <v>105</v>
      </c>
      <c r="L103" s="96">
        <f t="shared" si="40"/>
        <v>105</v>
      </c>
      <c r="M103" s="96">
        <f t="shared" si="40"/>
        <v>105</v>
      </c>
      <c r="N103" s="96">
        <f t="shared" si="40"/>
        <v>105</v>
      </c>
      <c r="O103" s="96">
        <f t="shared" si="40"/>
        <v>105</v>
      </c>
      <c r="P103" s="96">
        <f t="shared" si="40"/>
        <v>105</v>
      </c>
      <c r="Q103" s="96">
        <f t="shared" si="40"/>
        <v>105</v>
      </c>
      <c r="R103" s="99">
        <f>AVERAGE(F103:Q103)</f>
        <v>105</v>
      </c>
    </row>
    <row r="104" spans="1:18">
      <c r="C104" s="38" t="s">
        <v>261</v>
      </c>
      <c r="F104" s="102">
        <v>94.224600652396148</v>
      </c>
      <c r="G104" s="102">
        <v>57.09389455580591</v>
      </c>
      <c r="H104" s="102">
        <v>72.41687147607341</v>
      </c>
      <c r="I104" s="102">
        <v>76.263404608914655</v>
      </c>
      <c r="J104" s="102">
        <v>81.687113743771803</v>
      </c>
      <c r="K104" s="102">
        <v>77.518849358661214</v>
      </c>
      <c r="L104" s="102">
        <v>82.716939113954055</v>
      </c>
      <c r="M104" s="102">
        <v>74.491437589541533</v>
      </c>
      <c r="N104" s="102">
        <v>68.843582411543807</v>
      </c>
      <c r="O104" s="102">
        <v>129.74029502413995</v>
      </c>
      <c r="P104" s="102">
        <v>85.725910150690893</v>
      </c>
      <c r="Q104" s="102">
        <v>74.275762944616773</v>
      </c>
      <c r="R104" s="99">
        <f>AVERAGE(F104:Q104)</f>
        <v>81.249888469175843</v>
      </c>
    </row>
    <row r="105" spans="1:18">
      <c r="B105" s="38" t="s">
        <v>270</v>
      </c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1:18"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8" spans="1:18"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</row>
    <row r="109" spans="1:18" ht="18.75">
      <c r="A109" s="44" t="s">
        <v>6</v>
      </c>
      <c r="F109" s="107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</row>
    <row r="110" spans="1:18" s="37" customFormat="1">
      <c r="A110" s="37" t="s">
        <v>254</v>
      </c>
      <c r="F110" s="109">
        <f>'[1]Income Statement'!N52+'[1]Income Statement'!N53+'[1]Income Statement'!N55+'[1]Income Statement'!N54</f>
        <v>575796</v>
      </c>
      <c r="G110" s="118">
        <f>'[1]Income Statement'!M52+'[1]Income Statement'!M53+'[1]Income Statement'!M55+'[1]Income Statement'!M54</f>
        <v>465004</v>
      </c>
      <c r="H110" s="118">
        <f>'[1]Income Statement'!L52+'[1]Income Statement'!L53+'[1]Income Statement'!L55+'[1]Income Statement'!L54</f>
        <v>513635</v>
      </c>
      <c r="I110" s="118">
        <f>'[1]Income Statement'!K52+'[1]Income Statement'!K53+'[1]Income Statement'!K55+'[1]Income Statement'!K54</f>
        <v>620353</v>
      </c>
      <c r="J110" s="118">
        <f>'[1]Income Statement'!J52+'[1]Income Statement'!J53+'[1]Income Statement'!J55+'[1]Income Statement'!J54</f>
        <v>646494</v>
      </c>
      <c r="K110" s="118">
        <f>'[1]Income Statement'!I52+'[1]Income Statement'!I53+'[1]Income Statement'!I55+'[1]Income Statement'!I54</f>
        <v>575721</v>
      </c>
      <c r="L110" s="118">
        <f>'[1]Income Statement'!H52+'[1]Income Statement'!H53+'[1]Income Statement'!H55+'[1]Income Statement'!H54</f>
        <v>666577</v>
      </c>
      <c r="M110" s="118">
        <f>'[1]Income Statement'!G52+'[1]Income Statement'!G53+'[1]Income Statement'!G55+'[1]Income Statement'!G54</f>
        <v>568976</v>
      </c>
      <c r="N110" s="118">
        <f>'[1]Income Statement'!F52+'[1]Income Statement'!F53+'[1]Income Statement'!F55+'[1]Income Statement'!F54</f>
        <v>582140</v>
      </c>
      <c r="O110" s="118">
        <f>'[1]Income Statement'!E52+'[1]Income Statement'!E53+'[1]Income Statement'!E55+'[1]Income Statement'!E54</f>
        <v>616602</v>
      </c>
      <c r="P110" s="118">
        <f>'[1]Income Statement'!D52+'[1]Income Statement'!D53+'[1]Income Statement'!D55+'[1]Income Statement'!D54</f>
        <v>601589</v>
      </c>
      <c r="Q110" s="118">
        <f>'[1]Income Statement'!C52+'[1]Income Statement'!C53+'[1]Income Statement'!C55+'[1]Income Statement'!C54</f>
        <v>548334</v>
      </c>
      <c r="R110" s="119">
        <f>SUM(F110:Q110)</f>
        <v>6981221</v>
      </c>
    </row>
    <row r="111" spans="1:18">
      <c r="F111" s="46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</row>
    <row r="112" spans="1:18">
      <c r="A112" s="37" t="s">
        <v>278</v>
      </c>
      <c r="F112" s="46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</row>
    <row r="113" spans="1:21">
      <c r="B113" s="38" t="s">
        <v>0</v>
      </c>
      <c r="F113" s="120">
        <f>F125</f>
        <v>210193.6516707816</v>
      </c>
      <c r="G113" s="120">
        <f t="shared" ref="G113:R113" si="41">G125</f>
        <v>182872.34430992542</v>
      </c>
      <c r="H113" s="120">
        <f t="shared" si="41"/>
        <v>199308.41210771995</v>
      </c>
      <c r="I113" s="120">
        <f t="shared" si="41"/>
        <v>213430.59747047207</v>
      </c>
      <c r="J113" s="120">
        <f t="shared" si="41"/>
        <v>217986.20769155544</v>
      </c>
      <c r="K113" s="120">
        <f t="shared" si="41"/>
        <v>195451.19786835427</v>
      </c>
      <c r="L113" s="120">
        <f t="shared" si="41"/>
        <v>213758.68507006601</v>
      </c>
      <c r="M113" s="120">
        <f t="shared" si="41"/>
        <v>206232.36527107767</v>
      </c>
      <c r="N113" s="120">
        <f t="shared" si="41"/>
        <v>210540.54023385124</v>
      </c>
      <c r="O113" s="120">
        <f t="shared" si="41"/>
        <v>221038.31448647007</v>
      </c>
      <c r="P113" s="120">
        <f t="shared" si="41"/>
        <v>207506.21341659795</v>
      </c>
      <c r="Q113" s="120">
        <f t="shared" si="41"/>
        <v>253627.28146150263</v>
      </c>
      <c r="R113" s="120">
        <f t="shared" si="41"/>
        <v>2531945.8110583741</v>
      </c>
      <c r="S113" s="46"/>
      <c r="T113" s="63"/>
      <c r="U113" s="91"/>
    </row>
    <row r="114" spans="1:21">
      <c r="B114" s="38" t="s">
        <v>1</v>
      </c>
      <c r="F114" s="120">
        <f>F143</f>
        <v>244659.55325432518</v>
      </c>
      <c r="G114" s="120">
        <f t="shared" ref="G114:R114" si="42">G143</f>
        <v>198827.98952146585</v>
      </c>
      <c r="H114" s="120">
        <f t="shared" si="42"/>
        <v>228229.58567188581</v>
      </c>
      <c r="I114" s="120">
        <f t="shared" si="42"/>
        <v>265614.4550393697</v>
      </c>
      <c r="J114" s="120">
        <f t="shared" si="42"/>
        <v>292862.9111876341</v>
      </c>
      <c r="K114" s="120">
        <f t="shared" si="42"/>
        <v>261718.0587560861</v>
      </c>
      <c r="L114" s="120">
        <f t="shared" si="42"/>
        <v>284662.39239058981</v>
      </c>
      <c r="M114" s="120">
        <f t="shared" si="42"/>
        <v>250902.37501832738</v>
      </c>
      <c r="N114" s="120">
        <f t="shared" si="42"/>
        <v>253100.41281374951</v>
      </c>
      <c r="O114" s="120">
        <f t="shared" si="42"/>
        <v>266161.65346457856</v>
      </c>
      <c r="P114" s="120">
        <f t="shared" si="42"/>
        <v>258570.2920598026</v>
      </c>
      <c r="Q114" s="120">
        <f t="shared" si="42"/>
        <v>244097.20834765956</v>
      </c>
      <c r="R114" s="120">
        <f t="shared" si="42"/>
        <v>3049406.8875254742</v>
      </c>
      <c r="S114" s="46"/>
      <c r="T114" s="63"/>
      <c r="U114" s="91"/>
    </row>
    <row r="115" spans="1:21">
      <c r="B115" s="38" t="s">
        <v>257</v>
      </c>
      <c r="F115" s="120">
        <f>F148</f>
        <v>114737.44</v>
      </c>
      <c r="G115" s="120">
        <f t="shared" ref="G115:R115" si="43">G148</f>
        <v>75714.389999999985</v>
      </c>
      <c r="H115" s="120">
        <f t="shared" si="43"/>
        <v>90924.199999999983</v>
      </c>
      <c r="I115" s="120">
        <f t="shared" si="43"/>
        <v>110200.00999999998</v>
      </c>
      <c r="J115" s="120">
        <f t="shared" si="43"/>
        <v>126107.79000000001</v>
      </c>
      <c r="K115" s="120">
        <f t="shared" si="43"/>
        <v>101816.58</v>
      </c>
      <c r="L115" s="120">
        <f t="shared" si="43"/>
        <v>125973.13999999998</v>
      </c>
      <c r="M115" s="120">
        <f t="shared" si="43"/>
        <v>117012.43</v>
      </c>
      <c r="N115" s="120">
        <f t="shared" si="43"/>
        <v>121797.25</v>
      </c>
      <c r="O115" s="120">
        <f t="shared" si="43"/>
        <v>201377.8</v>
      </c>
      <c r="P115" s="120">
        <f t="shared" si="43"/>
        <v>132823.06</v>
      </c>
      <c r="Q115" s="120">
        <f t="shared" si="43"/>
        <v>107733.03</v>
      </c>
      <c r="R115" s="120">
        <f t="shared" si="43"/>
        <v>1426217.12</v>
      </c>
      <c r="S115" s="46"/>
      <c r="T115" s="63"/>
      <c r="U115" s="91"/>
    </row>
    <row r="116" spans="1:21" s="37" customFormat="1">
      <c r="A116" s="37" t="s">
        <v>7</v>
      </c>
      <c r="F116" s="121">
        <f t="shared" ref="F116:R116" si="44">SUM(F113:F115)</f>
        <v>569590.64492510678</v>
      </c>
      <c r="G116" s="121">
        <f t="shared" si="44"/>
        <v>457414.72383139131</v>
      </c>
      <c r="H116" s="121">
        <f t="shared" si="44"/>
        <v>518462.19777960575</v>
      </c>
      <c r="I116" s="121">
        <f t="shared" si="44"/>
        <v>589245.06250984175</v>
      </c>
      <c r="J116" s="121">
        <f t="shared" si="44"/>
        <v>636956.90887918952</v>
      </c>
      <c r="K116" s="121">
        <f t="shared" si="44"/>
        <v>558985.83662444039</v>
      </c>
      <c r="L116" s="121">
        <f t="shared" si="44"/>
        <v>624394.21746065584</v>
      </c>
      <c r="M116" s="121">
        <f t="shared" si="44"/>
        <v>574147.17028940504</v>
      </c>
      <c r="N116" s="121">
        <f t="shared" si="44"/>
        <v>585438.20304760081</v>
      </c>
      <c r="O116" s="121">
        <f t="shared" si="44"/>
        <v>688577.76795104868</v>
      </c>
      <c r="P116" s="121">
        <f t="shared" si="44"/>
        <v>598899.56547640054</v>
      </c>
      <c r="Q116" s="121">
        <f t="shared" si="44"/>
        <v>605457.51980916224</v>
      </c>
      <c r="R116" s="121">
        <f t="shared" si="44"/>
        <v>7007569.8185838489</v>
      </c>
      <c r="S116" s="111"/>
      <c r="T116" s="112"/>
    </row>
    <row r="117" spans="1:21" s="51" customFormat="1" ht="12">
      <c r="A117" s="51" t="s">
        <v>258</v>
      </c>
      <c r="F117" s="113">
        <f>F116-F110</f>
        <v>-6205.3550748932175</v>
      </c>
      <c r="G117" s="113">
        <f t="shared" ref="G117:Q117" si="45">G116-G110</f>
        <v>-7589.2761686086887</v>
      </c>
      <c r="H117" s="113">
        <f t="shared" si="45"/>
        <v>4827.1977796057472</v>
      </c>
      <c r="I117" s="113">
        <f t="shared" si="45"/>
        <v>-31107.937490158249</v>
      </c>
      <c r="J117" s="113">
        <f t="shared" si="45"/>
        <v>-9537.0911208104808</v>
      </c>
      <c r="K117" s="113">
        <f t="shared" si="45"/>
        <v>-16735.163375559612</v>
      </c>
      <c r="L117" s="113">
        <f t="shared" si="45"/>
        <v>-42182.78253934416</v>
      </c>
      <c r="M117" s="113">
        <f t="shared" si="45"/>
        <v>5171.1702894050395</v>
      </c>
      <c r="N117" s="113">
        <f t="shared" si="45"/>
        <v>3298.2030476008076</v>
      </c>
      <c r="O117" s="113">
        <f t="shared" si="45"/>
        <v>71975.767951048678</v>
      </c>
      <c r="P117" s="113">
        <f t="shared" si="45"/>
        <v>-2689.4345235994551</v>
      </c>
      <c r="Q117" s="113">
        <f t="shared" si="45"/>
        <v>57123.519809162244</v>
      </c>
      <c r="R117" s="113">
        <f>R116-R110</f>
        <v>26348.818583848886</v>
      </c>
      <c r="S117" s="122">
        <f>SUM(F117:Q117)</f>
        <v>26348.818583848653</v>
      </c>
    </row>
    <row r="118" spans="1:21">
      <c r="F118" s="57">
        <f t="shared" ref="F118:Q118" si="46">+F117/F110</f>
        <v>-1.0777002749052125E-2</v>
      </c>
      <c r="G118" s="57">
        <f t="shared" si="46"/>
        <v>-1.6320883623815469E-2</v>
      </c>
      <c r="H118" s="57">
        <f t="shared" si="46"/>
        <v>9.3981091234159424E-3</v>
      </c>
      <c r="I118" s="57">
        <f t="shared" si="46"/>
        <v>-5.0145542119016506E-2</v>
      </c>
      <c r="J118" s="57">
        <f t="shared" si="46"/>
        <v>-1.4752017993686686E-2</v>
      </c>
      <c r="K118" s="57">
        <f t="shared" si="46"/>
        <v>-2.90681829837015E-2</v>
      </c>
      <c r="L118" s="57">
        <f t="shared" si="46"/>
        <v>-6.3282685330193156E-2</v>
      </c>
      <c r="M118" s="57">
        <f t="shared" si="46"/>
        <v>9.088556089193638E-3</v>
      </c>
      <c r="N118" s="57">
        <f t="shared" si="46"/>
        <v>5.6656526739286214E-3</v>
      </c>
      <c r="O118" s="57">
        <f t="shared" si="46"/>
        <v>0.1167297023867076</v>
      </c>
      <c r="P118" s="57">
        <f t="shared" si="46"/>
        <v>-4.4705513624741398E-3</v>
      </c>
      <c r="Q118" s="57">
        <f t="shared" si="46"/>
        <v>0.1041765052124476</v>
      </c>
      <c r="R118" s="57">
        <f>+R117/R110</f>
        <v>3.774242153893837E-3</v>
      </c>
    </row>
    <row r="119" spans="1:21">
      <c r="E119" s="37"/>
      <c r="F119" s="37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46"/>
    </row>
    <row r="120" spans="1:21">
      <c r="B120" s="37" t="s">
        <v>0</v>
      </c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</row>
    <row r="121" spans="1:21">
      <c r="C121" s="38" t="s">
        <v>260</v>
      </c>
      <c r="F121" s="65">
        <f>+F23*F80</f>
        <v>109765.82523395972</v>
      </c>
      <c r="G121" s="123">
        <f t="shared" ref="G121:Q121" si="47">+G23*G80</f>
        <v>93914.137147184927</v>
      </c>
      <c r="H121" s="123">
        <f t="shared" si="47"/>
        <v>103092.90764050365</v>
      </c>
      <c r="I121" s="123">
        <f t="shared" si="47"/>
        <v>111440.43439232744</v>
      </c>
      <c r="J121" s="123">
        <f t="shared" si="47"/>
        <v>115456.09575720486</v>
      </c>
      <c r="K121" s="123">
        <f t="shared" si="47"/>
        <v>102973.21488455453</v>
      </c>
      <c r="L121" s="123">
        <f t="shared" si="47"/>
        <v>113563.883576305</v>
      </c>
      <c r="M121" s="123">
        <f t="shared" si="47"/>
        <v>107392.79197391207</v>
      </c>
      <c r="N121" s="123">
        <f t="shared" si="47"/>
        <v>108858.25808125823</v>
      </c>
      <c r="O121" s="123">
        <f t="shared" si="47"/>
        <v>113110.87624142274</v>
      </c>
      <c r="P121" s="123">
        <f t="shared" si="47"/>
        <v>106443.6283479095</v>
      </c>
      <c r="Q121" s="123">
        <f t="shared" si="47"/>
        <v>85996.414902209217</v>
      </c>
      <c r="R121" s="123">
        <f>SUM(F121:Q121)</f>
        <v>1272008.4681787521</v>
      </c>
    </row>
    <row r="122" spans="1:21">
      <c r="C122" s="38" t="s">
        <v>261</v>
      </c>
      <c r="F122" s="65">
        <f t="shared" ref="F122:Q122" si="48">+F24*F81</f>
        <v>83268.174310601607</v>
      </c>
      <c r="G122" s="123">
        <f t="shared" si="48"/>
        <v>74764.956874357173</v>
      </c>
      <c r="H122" s="123">
        <f t="shared" si="48"/>
        <v>81058.370148520698</v>
      </c>
      <c r="I122" s="123">
        <f t="shared" si="48"/>
        <v>86176.140249696793</v>
      </c>
      <c r="J122" s="123">
        <f t="shared" si="48"/>
        <v>86391.768898650247</v>
      </c>
      <c r="K122" s="123">
        <f t="shared" si="48"/>
        <v>78591.628387081553</v>
      </c>
      <c r="L122" s="123">
        <f t="shared" si="48"/>
        <v>84128.661135709292</v>
      </c>
      <c r="M122" s="123">
        <f t="shared" si="48"/>
        <v>81706.665163029844</v>
      </c>
      <c r="N122" s="123">
        <f t="shared" si="48"/>
        <v>84692.656121608277</v>
      </c>
      <c r="O122" s="123">
        <f t="shared" si="48"/>
        <v>89719.051046218505</v>
      </c>
      <c r="P122" s="123">
        <f t="shared" si="48"/>
        <v>84172.395558345714</v>
      </c>
      <c r="Q122" s="123">
        <f t="shared" si="48"/>
        <v>145422.14839115995</v>
      </c>
      <c r="R122" s="123">
        <f>SUM(F122:Q122)</f>
        <v>1060092.6162849795</v>
      </c>
    </row>
    <row r="123" spans="1:21">
      <c r="C123" s="38" t="s">
        <v>279</v>
      </c>
      <c r="F123" s="65">
        <f t="shared" ref="F123:Q123" si="49">+F27*F82</f>
        <v>6897.5485701313728</v>
      </c>
      <c r="G123" s="123">
        <f t="shared" si="49"/>
        <v>5736.0678054347472</v>
      </c>
      <c r="H123" s="123">
        <f t="shared" si="49"/>
        <v>6468.4600434693466</v>
      </c>
      <c r="I123" s="123">
        <f t="shared" si="49"/>
        <v>6291.0499266160441</v>
      </c>
      <c r="J123" s="123">
        <f t="shared" si="49"/>
        <v>6139.878326255096</v>
      </c>
      <c r="K123" s="123">
        <f t="shared" si="49"/>
        <v>5501.6218198608576</v>
      </c>
      <c r="L123" s="123">
        <f t="shared" si="49"/>
        <v>6572.4035765658891</v>
      </c>
      <c r="M123" s="123">
        <f t="shared" si="49"/>
        <v>6441.8335712477019</v>
      </c>
      <c r="N123" s="123">
        <f t="shared" si="49"/>
        <v>6353.1163004635418</v>
      </c>
      <c r="O123" s="123">
        <f t="shared" si="49"/>
        <v>6942.0665464398799</v>
      </c>
      <c r="P123" s="123">
        <f t="shared" si="49"/>
        <v>6384.563737239253</v>
      </c>
      <c r="Q123" s="123">
        <f t="shared" si="49"/>
        <v>2661.3905992325585</v>
      </c>
      <c r="R123" s="123">
        <f>SUM(F123:Q123)</f>
        <v>72390.000822956295</v>
      </c>
    </row>
    <row r="124" spans="1:21">
      <c r="C124" s="60" t="s">
        <v>280</v>
      </c>
      <c r="F124" s="65">
        <f>+F28*F84</f>
        <v>10262.103556088929</v>
      </c>
      <c r="G124" s="123">
        <f t="shared" ref="G124:Q124" si="50">+G28*G84</f>
        <v>8457.1824829485504</v>
      </c>
      <c r="H124" s="123">
        <f t="shared" si="50"/>
        <v>8688.6742752262635</v>
      </c>
      <c r="I124" s="123">
        <f t="shared" si="50"/>
        <v>9522.9729018318012</v>
      </c>
      <c r="J124" s="123">
        <f t="shared" si="50"/>
        <v>9998.4647094452303</v>
      </c>
      <c r="K124" s="123">
        <f t="shared" si="50"/>
        <v>8384.7327768573177</v>
      </c>
      <c r="L124" s="123">
        <f t="shared" si="50"/>
        <v>9493.7367814858571</v>
      </c>
      <c r="M124" s="123">
        <f t="shared" si="50"/>
        <v>10691.074562888083</v>
      </c>
      <c r="N124" s="123">
        <f t="shared" si="50"/>
        <v>10636.509730521198</v>
      </c>
      <c r="O124" s="123">
        <f t="shared" si="50"/>
        <v>11266.320652388948</v>
      </c>
      <c r="P124" s="123">
        <f t="shared" si="50"/>
        <v>10505.625773103493</v>
      </c>
      <c r="Q124" s="123">
        <f t="shared" si="50"/>
        <v>19547.327568900913</v>
      </c>
      <c r="R124" s="123">
        <f>SUM(F124:Q124)</f>
        <v>127454.72577168659</v>
      </c>
    </row>
    <row r="125" spans="1:21">
      <c r="B125" s="37" t="s">
        <v>265</v>
      </c>
      <c r="C125" s="37"/>
      <c r="D125" s="37"/>
      <c r="E125" s="37"/>
      <c r="F125" s="94">
        <f t="shared" ref="F125:R125" si="51">SUM(F121:F124)</f>
        <v>210193.6516707816</v>
      </c>
      <c r="G125" s="121">
        <f t="shared" si="51"/>
        <v>182872.34430992542</v>
      </c>
      <c r="H125" s="121">
        <f t="shared" si="51"/>
        <v>199308.41210771995</v>
      </c>
      <c r="I125" s="121">
        <f t="shared" si="51"/>
        <v>213430.59747047207</v>
      </c>
      <c r="J125" s="121">
        <f t="shared" si="51"/>
        <v>217986.20769155544</v>
      </c>
      <c r="K125" s="121">
        <f t="shared" si="51"/>
        <v>195451.19786835427</v>
      </c>
      <c r="L125" s="121">
        <f t="shared" si="51"/>
        <v>213758.68507006601</v>
      </c>
      <c r="M125" s="121">
        <f t="shared" si="51"/>
        <v>206232.36527107767</v>
      </c>
      <c r="N125" s="121">
        <f t="shared" si="51"/>
        <v>210540.54023385124</v>
      </c>
      <c r="O125" s="121">
        <f t="shared" si="51"/>
        <v>221038.31448647007</v>
      </c>
      <c r="P125" s="121">
        <f t="shared" si="51"/>
        <v>207506.21341659795</v>
      </c>
      <c r="Q125" s="121">
        <f t="shared" si="51"/>
        <v>253627.28146150263</v>
      </c>
      <c r="R125" s="121">
        <f t="shared" si="51"/>
        <v>2531945.8110583741</v>
      </c>
      <c r="S125" s="91"/>
      <c r="T125" s="91"/>
    </row>
    <row r="126" spans="1:21"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</row>
    <row r="127" spans="1:21">
      <c r="B127" s="37" t="s">
        <v>1</v>
      </c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</row>
    <row r="128" spans="1:21">
      <c r="C128" s="38" t="s">
        <v>259</v>
      </c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</row>
    <row r="129" spans="2:20">
      <c r="D129" s="38" t="s">
        <v>266</v>
      </c>
      <c r="F129" s="123">
        <f>+F34*F89</f>
        <v>100360.84601568189</v>
      </c>
      <c r="G129" s="123">
        <f t="shared" ref="G129:Q130" si="52">+G34*G89</f>
        <v>83201.619080651697</v>
      </c>
      <c r="H129" s="123">
        <f t="shared" si="52"/>
        <v>87785.072057255908</v>
      </c>
      <c r="I129" s="123">
        <f t="shared" si="52"/>
        <v>97293.050540990662</v>
      </c>
      <c r="J129" s="123">
        <f t="shared" si="52"/>
        <v>101068.46689915971</v>
      </c>
      <c r="K129" s="123">
        <f t="shared" si="52"/>
        <v>93449.079575286843</v>
      </c>
      <c r="L129" s="123">
        <f t="shared" si="52"/>
        <v>110232.43069829066</v>
      </c>
      <c r="M129" s="123">
        <f t="shared" si="52"/>
        <v>100214.73857309573</v>
      </c>
      <c r="N129" s="123">
        <f t="shared" si="52"/>
        <v>100478.24273642991</v>
      </c>
      <c r="O129" s="123">
        <f t="shared" si="52"/>
        <v>99617.54705070694</v>
      </c>
      <c r="P129" s="123">
        <f t="shared" si="52"/>
        <v>94002.040030679957</v>
      </c>
      <c r="Q129" s="123">
        <f t="shared" si="52"/>
        <v>99552.134884269268</v>
      </c>
      <c r="R129" s="123">
        <f>SUM(F129:Q129)</f>
        <v>1167255.2681424993</v>
      </c>
    </row>
    <row r="130" spans="2:20">
      <c r="D130" s="38" t="s">
        <v>267</v>
      </c>
      <c r="F130" s="123">
        <f>+F35*F90</f>
        <v>53040.778309365538</v>
      </c>
      <c r="G130" s="123">
        <f t="shared" si="52"/>
        <v>42031.554156668368</v>
      </c>
      <c r="H130" s="123">
        <f t="shared" si="52"/>
        <v>45667.296384616857</v>
      </c>
      <c r="I130" s="123">
        <f t="shared" si="52"/>
        <v>46645.2560050803</v>
      </c>
      <c r="J130" s="123">
        <f t="shared" si="52"/>
        <v>54534.35624140186</v>
      </c>
      <c r="K130" s="123">
        <f t="shared" si="52"/>
        <v>46812.124322706317</v>
      </c>
      <c r="L130" s="123">
        <f t="shared" si="52"/>
        <v>52626.417559672125</v>
      </c>
      <c r="M130" s="123">
        <f t="shared" si="52"/>
        <v>51535.754289962388</v>
      </c>
      <c r="N130" s="123">
        <f t="shared" si="52"/>
        <v>47110.593060703512</v>
      </c>
      <c r="O130" s="123">
        <f t="shared" si="52"/>
        <v>52820.025661651809</v>
      </c>
      <c r="P130" s="123">
        <f t="shared" si="52"/>
        <v>47930.586063064795</v>
      </c>
      <c r="Q130" s="123">
        <f t="shared" si="52"/>
        <v>47746.88441137191</v>
      </c>
      <c r="R130" s="123">
        <f>SUM(F130:Q130)</f>
        <v>588501.62646626576</v>
      </c>
    </row>
    <row r="131" spans="2:20" s="37" customFormat="1">
      <c r="C131" s="37" t="s">
        <v>2</v>
      </c>
      <c r="F131" s="121">
        <f t="shared" ref="F131:R131" si="53">SUM(F129:F130)</f>
        <v>153401.62432504742</v>
      </c>
      <c r="G131" s="121">
        <f t="shared" si="53"/>
        <v>125233.17323732006</v>
      </c>
      <c r="H131" s="121">
        <f t="shared" si="53"/>
        <v>133452.36844187276</v>
      </c>
      <c r="I131" s="121">
        <f t="shared" si="53"/>
        <v>143938.30654607096</v>
      </c>
      <c r="J131" s="121">
        <f t="shared" si="53"/>
        <v>155602.82314056158</v>
      </c>
      <c r="K131" s="121">
        <f t="shared" si="53"/>
        <v>140261.20389799317</v>
      </c>
      <c r="L131" s="121">
        <f t="shared" si="53"/>
        <v>162858.84825796279</v>
      </c>
      <c r="M131" s="121">
        <f t="shared" si="53"/>
        <v>151750.49286305811</v>
      </c>
      <c r="N131" s="121">
        <f t="shared" si="53"/>
        <v>147588.83579713342</v>
      </c>
      <c r="O131" s="121">
        <f t="shared" si="53"/>
        <v>152437.57271235876</v>
      </c>
      <c r="P131" s="121">
        <f t="shared" si="53"/>
        <v>141932.62609374477</v>
      </c>
      <c r="Q131" s="121">
        <f t="shared" si="53"/>
        <v>147299.01929564116</v>
      </c>
      <c r="R131" s="121">
        <f t="shared" si="53"/>
        <v>1755756.8946087649</v>
      </c>
    </row>
    <row r="132" spans="2:20" ht="7.5" customHeight="1">
      <c r="C132" s="37"/>
      <c r="D132" s="37"/>
      <c r="E132" s="37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</row>
    <row r="133" spans="2:20">
      <c r="C133" s="38" t="s">
        <v>262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2:20">
      <c r="D134" s="38" t="s">
        <v>281</v>
      </c>
      <c r="F134" s="123">
        <f t="shared" ref="F134:Q135" si="54">+F38*F93</f>
        <v>39807.636221477362</v>
      </c>
      <c r="G134" s="123">
        <f t="shared" si="54"/>
        <v>30073.826595733684</v>
      </c>
      <c r="H134" s="123">
        <f t="shared" si="54"/>
        <v>32064.972156835331</v>
      </c>
      <c r="I134" s="123">
        <f t="shared" si="54"/>
        <v>35322.368553974149</v>
      </c>
      <c r="J134" s="123">
        <f t="shared" si="54"/>
        <v>34119.942169498921</v>
      </c>
      <c r="K134" s="123">
        <f t="shared" si="54"/>
        <v>33354.258071454278</v>
      </c>
      <c r="L134" s="123">
        <f t="shared" si="54"/>
        <v>37836.826353567529</v>
      </c>
      <c r="M134" s="123">
        <f t="shared" si="54"/>
        <v>33607.074497314257</v>
      </c>
      <c r="N134" s="123">
        <f t="shared" si="54"/>
        <v>35426.933710455196</v>
      </c>
      <c r="O134" s="123">
        <f t="shared" si="54"/>
        <v>35051.584630722711</v>
      </c>
      <c r="P134" s="123">
        <f t="shared" si="54"/>
        <v>33981.061358189916</v>
      </c>
      <c r="Q134" s="123">
        <f t="shared" si="54"/>
        <v>39388.102010990777</v>
      </c>
      <c r="R134" s="123">
        <f>SUM(F134:Q134)</f>
        <v>420034.58633021411</v>
      </c>
    </row>
    <row r="135" spans="2:20">
      <c r="D135" s="38" t="s">
        <v>267</v>
      </c>
      <c r="F135" s="123">
        <f t="shared" si="54"/>
        <v>37144.252707800377</v>
      </c>
      <c r="G135" s="123">
        <f t="shared" si="54"/>
        <v>27690.249688412096</v>
      </c>
      <c r="H135" s="123">
        <f t="shared" si="54"/>
        <v>30417.795073177713</v>
      </c>
      <c r="I135" s="123">
        <f t="shared" si="54"/>
        <v>31097.659939324618</v>
      </c>
      <c r="J135" s="123">
        <f t="shared" si="54"/>
        <v>34447.565877573594</v>
      </c>
      <c r="K135" s="123">
        <f t="shared" si="54"/>
        <v>31298.796786638675</v>
      </c>
      <c r="L135" s="123">
        <f t="shared" si="54"/>
        <v>35573.837779059504</v>
      </c>
      <c r="M135" s="123">
        <f t="shared" si="54"/>
        <v>32706.927657955021</v>
      </c>
      <c r="N135" s="123">
        <f t="shared" si="54"/>
        <v>31737.063306160904</v>
      </c>
      <c r="O135" s="123">
        <f t="shared" si="54"/>
        <v>34596.256121497063</v>
      </c>
      <c r="P135" s="123">
        <f t="shared" si="54"/>
        <v>31780.704607867905</v>
      </c>
      <c r="Q135" s="123">
        <f t="shared" si="54"/>
        <v>37692.947041027626</v>
      </c>
      <c r="R135" s="123">
        <f>SUM(F135:Q135)</f>
        <v>396184.05658649513</v>
      </c>
    </row>
    <row r="136" spans="2:20" s="37" customFormat="1">
      <c r="C136" s="37" t="s">
        <v>3</v>
      </c>
      <c r="F136" s="121">
        <f t="shared" ref="F136:R136" si="55">SUM(F134:F135)</f>
        <v>76951.888929277746</v>
      </c>
      <c r="G136" s="121">
        <f t="shared" si="55"/>
        <v>57764.076284145776</v>
      </c>
      <c r="H136" s="121">
        <f t="shared" si="55"/>
        <v>62482.767230013043</v>
      </c>
      <c r="I136" s="121">
        <f t="shared" si="55"/>
        <v>66420.028493298771</v>
      </c>
      <c r="J136" s="121">
        <f t="shared" si="55"/>
        <v>68567.508047072508</v>
      </c>
      <c r="K136" s="121">
        <f t="shared" si="55"/>
        <v>64653.054858092954</v>
      </c>
      <c r="L136" s="121">
        <f t="shared" si="55"/>
        <v>73410.664132627033</v>
      </c>
      <c r="M136" s="121">
        <f t="shared" si="55"/>
        <v>66314.002155269278</v>
      </c>
      <c r="N136" s="121">
        <f t="shared" si="55"/>
        <v>67163.997016616107</v>
      </c>
      <c r="O136" s="121">
        <f t="shared" si="55"/>
        <v>69647.840752219781</v>
      </c>
      <c r="P136" s="121">
        <f t="shared" si="55"/>
        <v>65761.765966057821</v>
      </c>
      <c r="Q136" s="121">
        <f t="shared" si="55"/>
        <v>77081.04905201841</v>
      </c>
      <c r="R136" s="121">
        <f t="shared" si="55"/>
        <v>816218.64291670918</v>
      </c>
    </row>
    <row r="137" spans="2:20" ht="7.5" customHeight="1">
      <c r="C137" s="37"/>
      <c r="D137" s="37"/>
      <c r="E137" s="37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</row>
    <row r="138" spans="2:20">
      <c r="C138" s="38" t="s">
        <v>268</v>
      </c>
      <c r="E138" s="103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</row>
    <row r="139" spans="2:20">
      <c r="D139" s="38" t="s">
        <v>266</v>
      </c>
      <c r="F139" s="123">
        <f>+F42*F97</f>
        <v>13368.677532131278</v>
      </c>
      <c r="G139" s="123">
        <f t="shared" ref="G139:P139" si="56">+G42*G97</f>
        <v>14973.130349915682</v>
      </c>
      <c r="H139" s="123">
        <f t="shared" si="56"/>
        <v>26499.981587520368</v>
      </c>
      <c r="I139" s="123">
        <f t="shared" si="56"/>
        <v>42475.51999999999</v>
      </c>
      <c r="J139" s="123">
        <f t="shared" si="56"/>
        <v>51559.979999999989</v>
      </c>
      <c r="K139" s="123">
        <f t="shared" si="56"/>
        <v>42381.34</v>
      </c>
      <c r="L139" s="123">
        <f t="shared" si="56"/>
        <v>37764.82</v>
      </c>
      <c r="M139" s="123">
        <f t="shared" si="56"/>
        <v>25415</v>
      </c>
      <c r="N139" s="123">
        <f t="shared" si="56"/>
        <v>30724.780000000002</v>
      </c>
      <c r="O139" s="123">
        <f t="shared" si="56"/>
        <v>36388.499999999993</v>
      </c>
      <c r="P139" s="123">
        <f t="shared" si="56"/>
        <v>43300.7</v>
      </c>
      <c r="Q139" s="123">
        <f>+Q42*Q97</f>
        <v>17679.20289884046</v>
      </c>
      <c r="R139" s="123">
        <f>SUM(F139:Q139)</f>
        <v>382531.63236840779</v>
      </c>
      <c r="S139" s="59"/>
    </row>
    <row r="140" spans="2:20">
      <c r="D140" s="38" t="s">
        <v>267</v>
      </c>
      <c r="F140" s="123">
        <f t="shared" ref="F140:Q140" si="57">+F43*F98</f>
        <v>937.36246786872346</v>
      </c>
      <c r="G140" s="123">
        <f t="shared" si="57"/>
        <v>857.60965008431458</v>
      </c>
      <c r="H140" s="123">
        <f t="shared" si="57"/>
        <v>5794.4684124796377</v>
      </c>
      <c r="I140" s="123">
        <f t="shared" si="57"/>
        <v>12780.6</v>
      </c>
      <c r="J140" s="123">
        <f t="shared" si="57"/>
        <v>17132.599999999991</v>
      </c>
      <c r="K140" s="123">
        <f t="shared" si="57"/>
        <v>14422.460000000003</v>
      </c>
      <c r="L140" s="123">
        <f t="shared" si="57"/>
        <v>10628.059999999998</v>
      </c>
      <c r="M140" s="123">
        <f t="shared" si="57"/>
        <v>7422.8800000000019</v>
      </c>
      <c r="N140" s="123">
        <f t="shared" si="57"/>
        <v>7622.7999999999938</v>
      </c>
      <c r="O140" s="123">
        <f t="shared" si="57"/>
        <v>7687.7400000000025</v>
      </c>
      <c r="P140" s="123">
        <f t="shared" si="57"/>
        <v>7575.2000000000062</v>
      </c>
      <c r="Q140" s="123">
        <f t="shared" si="57"/>
        <v>2037.9371011595381</v>
      </c>
      <c r="R140" s="123">
        <f>SUM(F140:Q140)</f>
        <v>94899.717631592212</v>
      </c>
      <c r="S140" s="59"/>
    </row>
    <row r="141" spans="2:20" s="37" customFormat="1">
      <c r="C141" s="37" t="s">
        <v>4</v>
      </c>
      <c r="F141" s="121">
        <f t="shared" ref="F141:R141" si="58">SUM(F139:F140)</f>
        <v>14306.04</v>
      </c>
      <c r="G141" s="121">
        <f t="shared" si="58"/>
        <v>15830.739999999996</v>
      </c>
      <c r="H141" s="121">
        <f t="shared" si="58"/>
        <v>32294.450000000004</v>
      </c>
      <c r="I141" s="121">
        <f t="shared" si="58"/>
        <v>55256.119999999988</v>
      </c>
      <c r="J141" s="121">
        <f t="shared" si="58"/>
        <v>68692.579999999987</v>
      </c>
      <c r="K141" s="121">
        <f t="shared" si="58"/>
        <v>56803.8</v>
      </c>
      <c r="L141" s="121">
        <f t="shared" si="58"/>
        <v>48392.88</v>
      </c>
      <c r="M141" s="121">
        <f t="shared" si="58"/>
        <v>32837.880000000005</v>
      </c>
      <c r="N141" s="121">
        <f t="shared" si="58"/>
        <v>38347.579999999994</v>
      </c>
      <c r="O141" s="121">
        <f t="shared" si="58"/>
        <v>44076.24</v>
      </c>
      <c r="P141" s="121">
        <f t="shared" si="58"/>
        <v>50875.9</v>
      </c>
      <c r="Q141" s="121">
        <f t="shared" si="58"/>
        <v>19717.14</v>
      </c>
      <c r="R141" s="121">
        <f t="shared" si="58"/>
        <v>477431.35</v>
      </c>
    </row>
    <row r="142" spans="2:20" ht="7.5" customHeight="1">
      <c r="C142" s="37"/>
      <c r="D142" s="37"/>
      <c r="E142" s="37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</row>
    <row r="143" spans="2:20" s="37" customFormat="1">
      <c r="B143" s="37" t="s">
        <v>269</v>
      </c>
      <c r="F143" s="121">
        <f t="shared" ref="F143:P143" si="59">F131+F136+F141</f>
        <v>244659.55325432518</v>
      </c>
      <c r="G143" s="121">
        <f t="shared" si="59"/>
        <v>198827.98952146585</v>
      </c>
      <c r="H143" s="121">
        <f t="shared" si="59"/>
        <v>228229.58567188581</v>
      </c>
      <c r="I143" s="121">
        <f t="shared" si="59"/>
        <v>265614.4550393697</v>
      </c>
      <c r="J143" s="121">
        <f t="shared" si="59"/>
        <v>292862.9111876341</v>
      </c>
      <c r="K143" s="121">
        <f t="shared" si="59"/>
        <v>261718.0587560861</v>
      </c>
      <c r="L143" s="121">
        <f t="shared" si="59"/>
        <v>284662.39239058981</v>
      </c>
      <c r="M143" s="121">
        <f t="shared" si="59"/>
        <v>250902.37501832738</v>
      </c>
      <c r="N143" s="121">
        <f t="shared" si="59"/>
        <v>253100.41281374951</v>
      </c>
      <c r="O143" s="121">
        <f>O131+O136+O141</f>
        <v>266161.65346457856</v>
      </c>
      <c r="P143" s="121">
        <f t="shared" si="59"/>
        <v>258570.2920598026</v>
      </c>
      <c r="Q143" s="121">
        <f>Q131+Q136+Q141</f>
        <v>244097.20834765956</v>
      </c>
      <c r="R143" s="121">
        <f>R131+R136+R141</f>
        <v>3049406.8875254742</v>
      </c>
      <c r="S143" s="111"/>
      <c r="T143" s="112"/>
    </row>
    <row r="144" spans="2:20"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</row>
    <row r="145" spans="2:20">
      <c r="B145" s="37" t="s">
        <v>257</v>
      </c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</row>
    <row r="146" spans="2:20">
      <c r="C146" s="38" t="s">
        <v>260</v>
      </c>
      <c r="F146" s="123">
        <f t="shared" ref="F146:Q147" si="60">+F48*F103</f>
        <v>47433.749999999993</v>
      </c>
      <c r="G146" s="123">
        <f t="shared" si="60"/>
        <v>37205.700000000012</v>
      </c>
      <c r="H146" s="123">
        <f t="shared" si="60"/>
        <v>40833.450000000012</v>
      </c>
      <c r="I146" s="123">
        <f t="shared" si="60"/>
        <v>50084.999999999985</v>
      </c>
      <c r="J146" s="123">
        <f t="shared" si="60"/>
        <v>49709.1</v>
      </c>
      <c r="K146" s="123">
        <f t="shared" si="60"/>
        <v>46276.65</v>
      </c>
      <c r="L146" s="123">
        <f t="shared" si="60"/>
        <v>56143.499999999978</v>
      </c>
      <c r="M146" s="123">
        <f t="shared" si="60"/>
        <v>50458.800000000017</v>
      </c>
      <c r="N146" s="123">
        <f t="shared" si="60"/>
        <v>54145.35</v>
      </c>
      <c r="O146" s="123">
        <f t="shared" si="60"/>
        <v>55728.749999999985</v>
      </c>
      <c r="P146" s="123">
        <f t="shared" si="60"/>
        <v>47888.4</v>
      </c>
      <c r="Q146" s="123">
        <f t="shared" si="60"/>
        <v>47154.460500000008</v>
      </c>
      <c r="R146" s="123">
        <f>SUM(F146:Q146)</f>
        <v>583062.91050000011</v>
      </c>
    </row>
    <row r="147" spans="2:20">
      <c r="C147" s="38" t="s">
        <v>261</v>
      </c>
      <c r="F147" s="123">
        <f>+F49*F104</f>
        <v>67303.69</v>
      </c>
      <c r="G147" s="123">
        <f t="shared" si="60"/>
        <v>38508.689999999973</v>
      </c>
      <c r="H147" s="123">
        <f t="shared" si="60"/>
        <v>50090.749999999978</v>
      </c>
      <c r="I147" s="123">
        <f t="shared" si="60"/>
        <v>60115.01</v>
      </c>
      <c r="J147" s="123">
        <f t="shared" si="60"/>
        <v>76398.69</v>
      </c>
      <c r="K147" s="123">
        <f t="shared" si="60"/>
        <v>55539.93</v>
      </c>
      <c r="L147" s="123">
        <f t="shared" si="60"/>
        <v>69829.640000000014</v>
      </c>
      <c r="M147" s="123">
        <f t="shared" si="60"/>
        <v>66553.629999999976</v>
      </c>
      <c r="N147" s="123">
        <f t="shared" si="60"/>
        <v>67651.899999999994</v>
      </c>
      <c r="O147" s="123">
        <f t="shared" si="60"/>
        <v>145649.04999999999</v>
      </c>
      <c r="P147" s="123">
        <f t="shared" si="60"/>
        <v>84934.66</v>
      </c>
      <c r="Q147" s="123">
        <f t="shared" si="60"/>
        <v>60578.569499999991</v>
      </c>
      <c r="R147" s="123">
        <f>SUM(F147:Q147)</f>
        <v>843154.2095</v>
      </c>
    </row>
    <row r="148" spans="2:20" s="37" customFormat="1">
      <c r="B148" s="37" t="s">
        <v>270</v>
      </c>
      <c r="F148" s="121">
        <f t="shared" ref="F148:R148" si="61">SUM(F146:F147)</f>
        <v>114737.44</v>
      </c>
      <c r="G148" s="121">
        <f t="shared" si="61"/>
        <v>75714.389999999985</v>
      </c>
      <c r="H148" s="121">
        <f t="shared" si="61"/>
        <v>90924.199999999983</v>
      </c>
      <c r="I148" s="121">
        <f t="shared" si="61"/>
        <v>110200.00999999998</v>
      </c>
      <c r="J148" s="121">
        <f t="shared" si="61"/>
        <v>126107.79000000001</v>
      </c>
      <c r="K148" s="121">
        <f t="shared" si="61"/>
        <v>101816.58</v>
      </c>
      <c r="L148" s="121">
        <f t="shared" si="61"/>
        <v>125973.13999999998</v>
      </c>
      <c r="M148" s="121">
        <f t="shared" si="61"/>
        <v>117012.43</v>
      </c>
      <c r="N148" s="121">
        <f t="shared" si="61"/>
        <v>121797.25</v>
      </c>
      <c r="O148" s="121">
        <f t="shared" si="61"/>
        <v>201377.8</v>
      </c>
      <c r="P148" s="121">
        <f t="shared" si="61"/>
        <v>132823.06</v>
      </c>
      <c r="Q148" s="121">
        <f t="shared" si="61"/>
        <v>107733.03</v>
      </c>
      <c r="R148" s="121">
        <f t="shared" si="61"/>
        <v>1426217.12</v>
      </c>
      <c r="S148" s="111"/>
      <c r="T148" s="112"/>
    </row>
    <row r="149" spans="2:20"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</row>
    <row r="150" spans="2:20"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</row>
    <row r="151" spans="2:20">
      <c r="B151" s="37" t="s">
        <v>272</v>
      </c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</row>
    <row r="152" spans="2:20">
      <c r="C152" s="37" t="s">
        <v>0</v>
      </c>
      <c r="F152" s="46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</row>
    <row r="153" spans="2:20">
      <c r="D153" s="38" t="s">
        <v>259</v>
      </c>
      <c r="F153" s="120">
        <f t="shared" ref="F153:R153" si="62">F121</f>
        <v>109765.82523395972</v>
      </c>
      <c r="G153" s="120">
        <f t="shared" si="62"/>
        <v>93914.137147184927</v>
      </c>
      <c r="H153" s="120">
        <f t="shared" si="62"/>
        <v>103092.90764050365</v>
      </c>
      <c r="I153" s="120">
        <f t="shared" si="62"/>
        <v>111440.43439232744</v>
      </c>
      <c r="J153" s="120">
        <f t="shared" si="62"/>
        <v>115456.09575720486</v>
      </c>
      <c r="K153" s="120">
        <f t="shared" si="62"/>
        <v>102973.21488455453</v>
      </c>
      <c r="L153" s="120">
        <f t="shared" si="62"/>
        <v>113563.883576305</v>
      </c>
      <c r="M153" s="120">
        <f t="shared" si="62"/>
        <v>107392.79197391207</v>
      </c>
      <c r="N153" s="120">
        <f t="shared" si="62"/>
        <v>108858.25808125823</v>
      </c>
      <c r="O153" s="120">
        <f t="shared" si="62"/>
        <v>113110.87624142274</v>
      </c>
      <c r="P153" s="120">
        <f t="shared" si="62"/>
        <v>106443.6283479095</v>
      </c>
      <c r="Q153" s="120">
        <f t="shared" si="62"/>
        <v>85996.414902209217</v>
      </c>
      <c r="R153" s="123">
        <f t="shared" si="62"/>
        <v>1272008.4681787521</v>
      </c>
      <c r="S153" s="114"/>
    </row>
    <row r="154" spans="2:20">
      <c r="D154" s="38" t="s">
        <v>273</v>
      </c>
      <c r="F154" s="120">
        <f t="shared" ref="F154:R154" si="63">F123</f>
        <v>6897.5485701313728</v>
      </c>
      <c r="G154" s="120">
        <f t="shared" si="63"/>
        <v>5736.0678054347472</v>
      </c>
      <c r="H154" s="120">
        <f t="shared" si="63"/>
        <v>6468.4600434693466</v>
      </c>
      <c r="I154" s="120">
        <f t="shared" si="63"/>
        <v>6291.0499266160441</v>
      </c>
      <c r="J154" s="120">
        <f t="shared" si="63"/>
        <v>6139.878326255096</v>
      </c>
      <c r="K154" s="120">
        <f t="shared" si="63"/>
        <v>5501.6218198608576</v>
      </c>
      <c r="L154" s="120">
        <f t="shared" si="63"/>
        <v>6572.4035765658891</v>
      </c>
      <c r="M154" s="120">
        <f t="shared" si="63"/>
        <v>6441.8335712477019</v>
      </c>
      <c r="N154" s="120">
        <f t="shared" si="63"/>
        <v>6353.1163004635418</v>
      </c>
      <c r="O154" s="120">
        <f t="shared" si="63"/>
        <v>6942.0665464398799</v>
      </c>
      <c r="P154" s="120">
        <f t="shared" si="63"/>
        <v>6384.563737239253</v>
      </c>
      <c r="Q154" s="120">
        <f t="shared" si="63"/>
        <v>2661.3905992325585</v>
      </c>
      <c r="R154" s="123">
        <f t="shared" si="63"/>
        <v>72390.000822956295</v>
      </c>
      <c r="S154" s="70"/>
    </row>
    <row r="155" spans="2:20" s="37" customFormat="1">
      <c r="C155" s="37" t="s">
        <v>265</v>
      </c>
      <c r="F155" s="121">
        <f t="shared" ref="F155:R155" si="64">SUM(F153:F154)</f>
        <v>116663.3738040911</v>
      </c>
      <c r="G155" s="121">
        <f t="shared" si="64"/>
        <v>99650.204952619679</v>
      </c>
      <c r="H155" s="121">
        <f t="shared" si="64"/>
        <v>109561.36768397299</v>
      </c>
      <c r="I155" s="121">
        <f t="shared" si="64"/>
        <v>117731.48431894349</v>
      </c>
      <c r="J155" s="121">
        <f t="shared" si="64"/>
        <v>121595.97408345997</v>
      </c>
      <c r="K155" s="121">
        <f t="shared" si="64"/>
        <v>108474.83670441539</v>
      </c>
      <c r="L155" s="121">
        <f t="shared" si="64"/>
        <v>120136.28715287089</v>
      </c>
      <c r="M155" s="121">
        <f t="shared" si="64"/>
        <v>113834.62554515977</v>
      </c>
      <c r="N155" s="121">
        <f t="shared" si="64"/>
        <v>115211.37438172178</v>
      </c>
      <c r="O155" s="121">
        <f t="shared" si="64"/>
        <v>120052.94278786262</v>
      </c>
      <c r="P155" s="121">
        <f t="shared" si="64"/>
        <v>112828.19208514875</v>
      </c>
      <c r="Q155" s="121">
        <f t="shared" si="64"/>
        <v>88657.805501441777</v>
      </c>
      <c r="R155" s="121">
        <f t="shared" si="64"/>
        <v>1344398.4690017083</v>
      </c>
    </row>
    <row r="156" spans="2:20" ht="7.5" customHeight="1">
      <c r="C156" s="37"/>
      <c r="D156" s="37"/>
      <c r="E156" s="37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</row>
    <row r="157" spans="2:20">
      <c r="C157" s="37" t="s">
        <v>1</v>
      </c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</row>
    <row r="158" spans="2:20">
      <c r="D158" s="38" t="s">
        <v>259</v>
      </c>
      <c r="F158" s="120">
        <f t="shared" ref="F158:R158" si="65">F129</f>
        <v>100360.84601568189</v>
      </c>
      <c r="G158" s="120">
        <f t="shared" si="65"/>
        <v>83201.619080651697</v>
      </c>
      <c r="H158" s="120">
        <f t="shared" si="65"/>
        <v>87785.072057255908</v>
      </c>
      <c r="I158" s="120">
        <f t="shared" si="65"/>
        <v>97293.050540990662</v>
      </c>
      <c r="J158" s="120">
        <f t="shared" si="65"/>
        <v>101068.46689915971</v>
      </c>
      <c r="K158" s="120">
        <f t="shared" si="65"/>
        <v>93449.079575286843</v>
      </c>
      <c r="L158" s="120">
        <f t="shared" si="65"/>
        <v>110232.43069829066</v>
      </c>
      <c r="M158" s="120">
        <f t="shared" si="65"/>
        <v>100214.73857309573</v>
      </c>
      <c r="N158" s="120">
        <f t="shared" si="65"/>
        <v>100478.24273642991</v>
      </c>
      <c r="O158" s="120">
        <f t="shared" si="65"/>
        <v>99617.54705070694</v>
      </c>
      <c r="P158" s="120">
        <f t="shared" si="65"/>
        <v>94002.040030679957</v>
      </c>
      <c r="Q158" s="120">
        <f t="shared" si="65"/>
        <v>99552.134884269268</v>
      </c>
      <c r="R158" s="123">
        <f t="shared" si="65"/>
        <v>1167255.2681424993</v>
      </c>
    </row>
    <row r="159" spans="2:20">
      <c r="D159" s="38" t="s">
        <v>262</v>
      </c>
      <c r="F159" s="120">
        <f t="shared" ref="F159:Q159" si="66">F134</f>
        <v>39807.636221477362</v>
      </c>
      <c r="G159" s="120">
        <f t="shared" si="66"/>
        <v>30073.826595733684</v>
      </c>
      <c r="H159" s="120">
        <f t="shared" si="66"/>
        <v>32064.972156835331</v>
      </c>
      <c r="I159" s="120">
        <f t="shared" si="66"/>
        <v>35322.368553974149</v>
      </c>
      <c r="J159" s="120">
        <f t="shared" si="66"/>
        <v>34119.942169498921</v>
      </c>
      <c r="K159" s="120">
        <f t="shared" si="66"/>
        <v>33354.258071454278</v>
      </c>
      <c r="L159" s="120">
        <f t="shared" si="66"/>
        <v>37836.826353567529</v>
      </c>
      <c r="M159" s="120">
        <f t="shared" si="66"/>
        <v>33607.074497314257</v>
      </c>
      <c r="N159" s="120">
        <f t="shared" si="66"/>
        <v>35426.933710455196</v>
      </c>
      <c r="O159" s="120">
        <f t="shared" si="66"/>
        <v>35051.584630722711</v>
      </c>
      <c r="P159" s="120">
        <f t="shared" si="66"/>
        <v>33981.061358189916</v>
      </c>
      <c r="Q159" s="120">
        <f t="shared" si="66"/>
        <v>39388.102010990777</v>
      </c>
      <c r="R159" s="123">
        <f>R134</f>
        <v>420034.58633021411</v>
      </c>
    </row>
    <row r="160" spans="2:20">
      <c r="D160" s="38" t="s">
        <v>268</v>
      </c>
      <c r="F160" s="120">
        <f>F139</f>
        <v>13368.677532131278</v>
      </c>
      <c r="G160" s="120">
        <f t="shared" ref="G160:R160" si="67">G139</f>
        <v>14973.130349915682</v>
      </c>
      <c r="H160" s="120">
        <f t="shared" si="67"/>
        <v>26499.981587520368</v>
      </c>
      <c r="I160" s="120">
        <f t="shared" si="67"/>
        <v>42475.51999999999</v>
      </c>
      <c r="J160" s="120">
        <f t="shared" si="67"/>
        <v>51559.979999999989</v>
      </c>
      <c r="K160" s="120">
        <f t="shared" si="67"/>
        <v>42381.34</v>
      </c>
      <c r="L160" s="120">
        <f t="shared" si="67"/>
        <v>37764.82</v>
      </c>
      <c r="M160" s="120">
        <f t="shared" si="67"/>
        <v>25415</v>
      </c>
      <c r="N160" s="120">
        <f t="shared" si="67"/>
        <v>30724.780000000002</v>
      </c>
      <c r="O160" s="120">
        <f t="shared" si="67"/>
        <v>36388.499999999993</v>
      </c>
      <c r="P160" s="120">
        <f t="shared" si="67"/>
        <v>43300.7</v>
      </c>
      <c r="Q160" s="120">
        <f t="shared" si="67"/>
        <v>17679.20289884046</v>
      </c>
      <c r="R160" s="123">
        <f t="shared" si="67"/>
        <v>382531.63236840779</v>
      </c>
    </row>
    <row r="161" spans="2:19" s="37" customFormat="1">
      <c r="C161" s="37" t="s">
        <v>269</v>
      </c>
      <c r="F161" s="121">
        <f t="shared" ref="F161:R161" si="68">SUM(F158:F160)</f>
        <v>153537.15976929053</v>
      </c>
      <c r="G161" s="121">
        <f t="shared" si="68"/>
        <v>128248.57602630106</v>
      </c>
      <c r="H161" s="121">
        <f t="shared" si="68"/>
        <v>146350.0258016116</v>
      </c>
      <c r="I161" s="121">
        <f t="shared" si="68"/>
        <v>175090.93909496479</v>
      </c>
      <c r="J161" s="121">
        <f t="shared" si="68"/>
        <v>186748.38906865861</v>
      </c>
      <c r="K161" s="121">
        <f t="shared" si="68"/>
        <v>169184.67764674113</v>
      </c>
      <c r="L161" s="121">
        <f t="shared" si="68"/>
        <v>185834.07705185818</v>
      </c>
      <c r="M161" s="121">
        <f t="shared" si="68"/>
        <v>159236.81307040999</v>
      </c>
      <c r="N161" s="121">
        <f t="shared" si="68"/>
        <v>166629.9564468851</v>
      </c>
      <c r="O161" s="121">
        <f t="shared" si="68"/>
        <v>171057.63168142966</v>
      </c>
      <c r="P161" s="121">
        <f t="shared" si="68"/>
        <v>171283.80138886988</v>
      </c>
      <c r="Q161" s="121">
        <f t="shared" si="68"/>
        <v>156619.4397941005</v>
      </c>
      <c r="R161" s="121">
        <f t="shared" si="68"/>
        <v>1969821.4868411212</v>
      </c>
    </row>
    <row r="162" spans="2:19" ht="7.5" customHeight="1">
      <c r="C162" s="37"/>
      <c r="D162" s="37"/>
      <c r="E162" s="37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</row>
    <row r="163" spans="2:19">
      <c r="C163" s="37" t="s">
        <v>257</v>
      </c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</row>
    <row r="164" spans="2:19">
      <c r="D164" s="38" t="s">
        <v>259</v>
      </c>
      <c r="F164" s="120">
        <f t="shared" ref="F164:R164" si="69">F146</f>
        <v>47433.749999999993</v>
      </c>
      <c r="G164" s="120">
        <f t="shared" si="69"/>
        <v>37205.700000000012</v>
      </c>
      <c r="H164" s="120">
        <f t="shared" si="69"/>
        <v>40833.450000000012</v>
      </c>
      <c r="I164" s="120">
        <f t="shared" si="69"/>
        <v>50084.999999999985</v>
      </c>
      <c r="J164" s="120">
        <f t="shared" si="69"/>
        <v>49709.1</v>
      </c>
      <c r="K164" s="120">
        <f t="shared" si="69"/>
        <v>46276.65</v>
      </c>
      <c r="L164" s="120">
        <f t="shared" si="69"/>
        <v>56143.499999999978</v>
      </c>
      <c r="M164" s="120">
        <f t="shared" si="69"/>
        <v>50458.800000000017</v>
      </c>
      <c r="N164" s="120">
        <f t="shared" si="69"/>
        <v>54145.35</v>
      </c>
      <c r="O164" s="120">
        <f t="shared" si="69"/>
        <v>55728.749999999985</v>
      </c>
      <c r="P164" s="120">
        <f t="shared" si="69"/>
        <v>47888.4</v>
      </c>
      <c r="Q164" s="120">
        <f t="shared" si="69"/>
        <v>47154.460500000008</v>
      </c>
      <c r="R164" s="123">
        <f t="shared" si="69"/>
        <v>583062.91050000011</v>
      </c>
    </row>
    <row r="165" spans="2:19">
      <c r="C165" s="37" t="s">
        <v>270</v>
      </c>
      <c r="F165" s="125">
        <f t="shared" ref="F165:R165" si="70">SUM(F164)</f>
        <v>47433.749999999993</v>
      </c>
      <c r="G165" s="125">
        <f t="shared" si="70"/>
        <v>37205.700000000012</v>
      </c>
      <c r="H165" s="125">
        <f t="shared" si="70"/>
        <v>40833.450000000012</v>
      </c>
      <c r="I165" s="125">
        <f t="shared" si="70"/>
        <v>50084.999999999985</v>
      </c>
      <c r="J165" s="125">
        <f t="shared" si="70"/>
        <v>49709.1</v>
      </c>
      <c r="K165" s="125">
        <f t="shared" si="70"/>
        <v>46276.65</v>
      </c>
      <c r="L165" s="125">
        <f t="shared" si="70"/>
        <v>56143.499999999978</v>
      </c>
      <c r="M165" s="125">
        <f t="shared" si="70"/>
        <v>50458.800000000017</v>
      </c>
      <c r="N165" s="125">
        <f t="shared" si="70"/>
        <v>54145.35</v>
      </c>
      <c r="O165" s="125">
        <f t="shared" si="70"/>
        <v>55728.749999999985</v>
      </c>
      <c r="P165" s="125">
        <f t="shared" si="70"/>
        <v>47888.4</v>
      </c>
      <c r="Q165" s="125">
        <f t="shared" si="70"/>
        <v>47154.460500000008</v>
      </c>
      <c r="R165" s="125">
        <f t="shared" si="70"/>
        <v>583062.91050000011</v>
      </c>
    </row>
    <row r="166" spans="2:19" ht="7.5" customHeight="1">
      <c r="C166" s="37"/>
      <c r="D166" s="37"/>
      <c r="E166" s="37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</row>
    <row r="167" spans="2:19" s="37" customFormat="1">
      <c r="B167" s="37" t="s">
        <v>272</v>
      </c>
      <c r="F167" s="121">
        <f t="shared" ref="F167:Q167" si="71">F155+F161+F165</f>
        <v>317634.2835733816</v>
      </c>
      <c r="G167" s="121">
        <f t="shared" si="71"/>
        <v>265104.48097892076</v>
      </c>
      <c r="H167" s="121">
        <f t="shared" si="71"/>
        <v>296744.8434855846</v>
      </c>
      <c r="I167" s="121">
        <f t="shared" si="71"/>
        <v>342907.42341390828</v>
      </c>
      <c r="J167" s="121">
        <f t="shared" si="71"/>
        <v>358053.46315211855</v>
      </c>
      <c r="K167" s="121">
        <f t="shared" si="71"/>
        <v>323936.16435115656</v>
      </c>
      <c r="L167" s="121">
        <f t="shared" si="71"/>
        <v>362113.86420472909</v>
      </c>
      <c r="M167" s="121">
        <f t="shared" si="71"/>
        <v>323530.23861556977</v>
      </c>
      <c r="N167" s="121">
        <f t="shared" si="71"/>
        <v>335986.68082860683</v>
      </c>
      <c r="O167" s="121">
        <f t="shared" si="71"/>
        <v>346839.3244692923</v>
      </c>
      <c r="P167" s="121">
        <f t="shared" si="71"/>
        <v>332000.39347401867</v>
      </c>
      <c r="Q167" s="121">
        <f t="shared" si="71"/>
        <v>292431.70579554228</v>
      </c>
      <c r="R167" s="127">
        <f>R155+R161+R165</f>
        <v>3897282.8663428295</v>
      </c>
      <c r="S167" s="111"/>
    </row>
    <row r="168" spans="2:19">
      <c r="S168" s="115"/>
    </row>
    <row r="169" spans="2:19">
      <c r="R169" s="59"/>
    </row>
  </sheetData>
  <mergeCells count="1">
    <mergeCell ref="A3:D3"/>
  </mergeCells>
  <pageMargins left="0.7" right="0.7" top="0.75" bottom="0.75" header="0.3" footer="0.3"/>
  <pageSetup paperSize="9" scale="73" fitToHeight="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G10" sqref="G10"/>
    </sheetView>
  </sheetViews>
  <sheetFormatPr defaultRowHeight="15"/>
  <cols>
    <col min="3" max="3" width="12.7109375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</cols>
  <sheetData>
    <row r="1" spans="1:9" ht="23.25">
      <c r="A1" s="1" t="s">
        <v>10</v>
      </c>
    </row>
    <row r="2" spans="1:9" ht="23.25">
      <c r="A2" s="1" t="s">
        <v>22</v>
      </c>
    </row>
    <row r="3" spans="1:9" ht="15" customHeight="1">
      <c r="A3" s="1"/>
      <c r="I3" s="11"/>
    </row>
    <row r="4" spans="1:9">
      <c r="C4" s="12" t="s">
        <v>23</v>
      </c>
      <c r="D4" s="12"/>
      <c r="E4" s="12" t="s">
        <v>24</v>
      </c>
      <c r="G4" s="12" t="s">
        <v>25</v>
      </c>
      <c r="I4" s="13"/>
    </row>
    <row r="5" spans="1:9">
      <c r="C5" s="14" t="s">
        <v>26</v>
      </c>
      <c r="E5" s="14" t="s">
        <v>27</v>
      </c>
      <c r="G5" s="14" t="s">
        <v>28</v>
      </c>
      <c r="I5" s="13"/>
    </row>
    <row r="6" spans="1:9">
      <c r="I6" s="11"/>
    </row>
    <row r="7" spans="1:9">
      <c r="A7" t="s">
        <v>13</v>
      </c>
      <c r="C7" s="4">
        <f>SUM('Wage Details'!B6:N6)</f>
        <v>36286.25</v>
      </c>
      <c r="E7" s="4">
        <f>SUM('Wage Details'!B20:N20)+SUM('Wage Details'!B34:K34)</f>
        <v>66891</v>
      </c>
      <c r="G7" s="4">
        <f>(C7+E7)/36*16</f>
        <v>45856.555555555555</v>
      </c>
      <c r="I7" s="15"/>
    </row>
    <row r="8" spans="1:9">
      <c r="A8" t="s">
        <v>14</v>
      </c>
      <c r="C8" s="4">
        <f>SUM('Wage Details'!B7:N7)</f>
        <v>4285</v>
      </c>
      <c r="E8" s="4">
        <f>SUM('Wage Details'!B21:N21)+SUM('Wage Details'!B35:K35)</f>
        <v>8634.25</v>
      </c>
      <c r="G8" s="4">
        <f>(C8+E8)/36*16</f>
        <v>5741.8888888888887</v>
      </c>
      <c r="I8" s="15"/>
    </row>
    <row r="9" spans="1:9">
      <c r="A9" t="s">
        <v>15</v>
      </c>
      <c r="C9" s="5">
        <f>SUM(C7:C8)</f>
        <v>40571.25</v>
      </c>
      <c r="E9" s="5">
        <f>SUM(E7:E8)</f>
        <v>75525.25</v>
      </c>
      <c r="G9" s="5">
        <f>SUM(G7:G8)</f>
        <v>51598.444444444445</v>
      </c>
      <c r="I9" s="15"/>
    </row>
    <row r="10" spans="1:9">
      <c r="I10" s="11"/>
    </row>
    <row r="11" spans="1:9">
      <c r="A11" t="s">
        <v>16</v>
      </c>
      <c r="C11" s="6">
        <f>SUM('Wage Details'!B10:N10)</f>
        <v>524026.24000000005</v>
      </c>
      <c r="E11" s="6">
        <f>SUM('Wage Details'!B24:N24)+SUM('Wage Details'!B38:K38)</f>
        <v>1097460.08</v>
      </c>
      <c r="G11" s="6">
        <f>G7*E15</f>
        <v>752354.41432366765</v>
      </c>
      <c r="I11" s="11"/>
    </row>
    <row r="12" spans="1:9">
      <c r="A12" t="s">
        <v>17</v>
      </c>
      <c r="C12" s="6">
        <f>SUM('Wage Details'!B11:N11)</f>
        <v>89087.900000000009</v>
      </c>
      <c r="E12" s="6">
        <f>SUM('Wage Details'!B25:N25)+SUM('Wage Details'!B39:K39)</f>
        <v>206775.32</v>
      </c>
      <c r="G12" s="6">
        <f>G8*E16</f>
        <v>137508.28530612902</v>
      </c>
    </row>
    <row r="13" spans="1:9">
      <c r="A13" t="s">
        <v>18</v>
      </c>
      <c r="C13" s="7">
        <f>SUM(C11:C12)</f>
        <v>613114.14</v>
      </c>
      <c r="E13" s="7">
        <f>SUM(E11:E12)</f>
        <v>1304235.4000000001</v>
      </c>
      <c r="G13" s="7">
        <f>SUM(G11:G12)</f>
        <v>889862.69962979667</v>
      </c>
    </row>
    <row r="14" spans="1:9" ht="15.75" customHeight="1"/>
    <row r="15" spans="1:9">
      <c r="A15" t="s">
        <v>19</v>
      </c>
      <c r="C15" s="8">
        <f>C11/C7</f>
        <v>14.441454821041029</v>
      </c>
      <c r="E15" s="8">
        <f>E11/E7</f>
        <v>16.406692679134714</v>
      </c>
      <c r="G15" s="8">
        <f>G11/G7</f>
        <v>16.406692679134714</v>
      </c>
    </row>
    <row r="16" spans="1:9">
      <c r="A16" t="s">
        <v>20</v>
      </c>
      <c r="C16" s="8">
        <f>C12/C8</f>
        <v>20.790641773628941</v>
      </c>
      <c r="E16" s="8">
        <f>E12/E8</f>
        <v>23.948266496800535</v>
      </c>
      <c r="G16" s="8">
        <f>G12/G8</f>
        <v>23.948266496800535</v>
      </c>
    </row>
    <row r="17" spans="1:9">
      <c r="A17" t="s">
        <v>21</v>
      </c>
      <c r="C17" s="9">
        <f>C13/C9</f>
        <v>15.112034753674092</v>
      </c>
      <c r="E17" s="9">
        <f>E13/E9</f>
        <v>17.268865710474312</v>
      </c>
      <c r="G17" s="9">
        <f>G13/G9</f>
        <v>17.245921058490502</v>
      </c>
    </row>
    <row r="19" spans="1:9">
      <c r="A19" t="s">
        <v>29</v>
      </c>
    </row>
    <row r="20" spans="1:9" ht="45">
      <c r="C20" s="16" t="s">
        <v>30</v>
      </c>
      <c r="E20" s="17" t="s">
        <v>31</v>
      </c>
      <c r="G20" s="17" t="s">
        <v>32</v>
      </c>
      <c r="I20" s="17" t="s">
        <v>33</v>
      </c>
    </row>
    <row r="21" spans="1:9">
      <c r="A21" t="s">
        <v>13</v>
      </c>
      <c r="C21" s="18">
        <f>SUM(C7:G7)</f>
        <v>149033.80555555556</v>
      </c>
      <c r="E21" s="6">
        <f>C21*C15</f>
        <v>2152264.9697383693</v>
      </c>
      <c r="G21" s="6">
        <f>C21*E15</f>
        <v>2445151.8465519198</v>
      </c>
      <c r="I21" s="6">
        <f>C21*C38</f>
        <v>2889724.9095613598</v>
      </c>
    </row>
    <row r="22" spans="1:9">
      <c r="A22" t="s">
        <v>14</v>
      </c>
      <c r="C22" s="18">
        <f>SUM(C8:G8)</f>
        <v>18661.138888888891</v>
      </c>
      <c r="E22" s="6">
        <f>C22*C16</f>
        <v>387977.05372682493</v>
      </c>
      <c r="G22" s="6">
        <f>C22*E16</f>
        <v>446901.92724491941</v>
      </c>
      <c r="I22" s="6">
        <f>C22*G38</f>
        <v>528156.82310763199</v>
      </c>
    </row>
    <row r="23" spans="1:9">
      <c r="A23" t="s">
        <v>15</v>
      </c>
      <c r="C23" s="19">
        <f>SUM(C21:C22)</f>
        <v>167694.94444444444</v>
      </c>
      <c r="E23" s="7">
        <f>SUM(E21:E22)</f>
        <v>2540242.0234651943</v>
      </c>
      <c r="G23" s="7">
        <f>SUM(G21:G22)</f>
        <v>2892053.7737968392</v>
      </c>
      <c r="I23" s="7">
        <f>SUM(I21:I22)</f>
        <v>3417881.7326689917</v>
      </c>
    </row>
    <row r="25" spans="1:9">
      <c r="A25" t="s">
        <v>34</v>
      </c>
      <c r="G25" s="6">
        <f>G23-E23</f>
        <v>351811.7503316449</v>
      </c>
    </row>
    <row r="26" spans="1:9">
      <c r="A26" t="s">
        <v>35</v>
      </c>
      <c r="G26" s="4">
        <v>198000</v>
      </c>
    </row>
    <row r="27" spans="1:9">
      <c r="A27" t="s">
        <v>36</v>
      </c>
      <c r="G27" s="8">
        <f>G25/G26</f>
        <v>1.7768270218769944</v>
      </c>
    </row>
    <row r="29" spans="1:9">
      <c r="A29" t="s">
        <v>37</v>
      </c>
    </row>
    <row r="30" spans="1:9">
      <c r="A30" t="s">
        <v>38</v>
      </c>
    </row>
    <row r="31" spans="1:9">
      <c r="A31" t="s">
        <v>39</v>
      </c>
      <c r="C31" s="8">
        <v>11</v>
      </c>
      <c r="E31" t="s">
        <v>20</v>
      </c>
      <c r="G31" s="8">
        <f>C31*1.5</f>
        <v>16.5</v>
      </c>
    </row>
    <row r="32" spans="1:9">
      <c r="A32" t="s">
        <v>40</v>
      </c>
      <c r="C32" s="8">
        <f>E15</f>
        <v>16.406692679134714</v>
      </c>
      <c r="E32" t="s">
        <v>41</v>
      </c>
      <c r="G32" s="8">
        <f>E16</f>
        <v>23.948266496800535</v>
      </c>
    </row>
    <row r="33" spans="1:7">
      <c r="C33" s="20">
        <f>(C32-C31)/C31</f>
        <v>0.49151751628497403</v>
      </c>
      <c r="G33" s="20">
        <f>(G32-G31)/G31</f>
        <v>0.45141009071518395</v>
      </c>
    </row>
    <row r="35" spans="1:7">
      <c r="A35" t="s">
        <v>42</v>
      </c>
    </row>
    <row r="36" spans="1:7">
      <c r="A36" t="s">
        <v>38</v>
      </c>
    </row>
    <row r="37" spans="1:7">
      <c r="A37" t="s">
        <v>239</v>
      </c>
      <c r="C37" s="8">
        <v>13</v>
      </c>
      <c r="E37" t="s">
        <v>20</v>
      </c>
      <c r="G37" s="8">
        <f>C37*1.5</f>
        <v>19.5</v>
      </c>
    </row>
    <row r="38" spans="1:7">
      <c r="A38" t="s">
        <v>40</v>
      </c>
      <c r="C38" s="8">
        <f>C37*(1+C33)</f>
        <v>19.389727711704662</v>
      </c>
      <c r="E38" t="s">
        <v>41</v>
      </c>
      <c r="G38" s="8">
        <f>G37*(1+G33)</f>
        <v>28.302496768946085</v>
      </c>
    </row>
    <row r="39" spans="1:7">
      <c r="C39" s="20">
        <f>(C38-C37)/C37</f>
        <v>0.49151751628497398</v>
      </c>
      <c r="G39" s="20">
        <f>(G38-G37)/G37</f>
        <v>0.45141009071518384</v>
      </c>
    </row>
    <row r="41" spans="1:7">
      <c r="A41" t="s">
        <v>43</v>
      </c>
      <c r="G41" s="6">
        <f>I23-G23</f>
        <v>525827.95887215249</v>
      </c>
    </row>
    <row r="42" spans="1:7">
      <c r="A42" t="s">
        <v>44</v>
      </c>
      <c r="G42" s="4">
        <v>198000</v>
      </c>
    </row>
    <row r="43" spans="1:7">
      <c r="A43" t="s">
        <v>36</v>
      </c>
      <c r="G43" s="8">
        <f>G41/G42</f>
        <v>2.6556967619805683</v>
      </c>
    </row>
    <row r="45" spans="1:7">
      <c r="A45" t="s">
        <v>45</v>
      </c>
      <c r="G45" s="8">
        <f>G43+G27</f>
        <v>4.4325237838575626</v>
      </c>
    </row>
    <row r="46" spans="1:7">
      <c r="A46" t="s">
        <v>46</v>
      </c>
      <c r="G46" s="8">
        <v>68.39</v>
      </c>
    </row>
    <row r="47" spans="1:7">
      <c r="A47" t="s">
        <v>47</v>
      </c>
      <c r="G47" s="9">
        <f>SUM(G45:G46)</f>
        <v>72.822523783857562</v>
      </c>
    </row>
  </sheetData>
  <pageMargins left="0.7" right="0.7" top="0.25" bottom="0.2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opLeftCell="A16" workbookViewId="0">
      <selection activeCell="G10" sqref="G10"/>
    </sheetView>
  </sheetViews>
  <sheetFormatPr defaultRowHeight="15"/>
  <cols>
    <col min="1" max="1" width="19.28515625" customWidth="1"/>
    <col min="2" max="25" width="10.7109375" customWidth="1"/>
  </cols>
  <sheetData>
    <row r="1" spans="1:32" ht="23.25">
      <c r="A1" s="1" t="s">
        <v>10</v>
      </c>
    </row>
    <row r="2" spans="1:32" ht="23.25">
      <c r="A2" s="1" t="s">
        <v>11</v>
      </c>
    </row>
    <row r="3" spans="1:32" ht="23.25">
      <c r="A3" s="1" t="s">
        <v>12</v>
      </c>
    </row>
    <row r="4" spans="1:32">
      <c r="B4" s="2">
        <v>42015</v>
      </c>
      <c r="C4" s="2">
        <f>B4+7</f>
        <v>42022</v>
      </c>
      <c r="D4" s="2">
        <f t="shared" ref="D4:N4" si="0">C4+7</f>
        <v>42029</v>
      </c>
      <c r="E4" s="2">
        <f t="shared" si="0"/>
        <v>42036</v>
      </c>
      <c r="F4" s="2">
        <f t="shared" si="0"/>
        <v>42043</v>
      </c>
      <c r="G4" s="2">
        <f t="shared" si="0"/>
        <v>42050</v>
      </c>
      <c r="H4" s="2">
        <f t="shared" si="0"/>
        <v>42057</v>
      </c>
      <c r="I4" s="2">
        <f t="shared" si="0"/>
        <v>42064</v>
      </c>
      <c r="J4" s="2">
        <f t="shared" si="0"/>
        <v>42071</v>
      </c>
      <c r="K4" s="2">
        <f t="shared" si="0"/>
        <v>42078</v>
      </c>
      <c r="L4" s="2">
        <f t="shared" si="0"/>
        <v>42085</v>
      </c>
      <c r="M4" s="2">
        <f t="shared" si="0"/>
        <v>42092</v>
      </c>
      <c r="N4" s="2">
        <f t="shared" si="0"/>
        <v>42099</v>
      </c>
      <c r="Z4" s="3"/>
      <c r="AA4" s="3"/>
      <c r="AB4" s="3"/>
      <c r="AC4" s="3"/>
      <c r="AD4" s="3"/>
      <c r="AE4" s="3"/>
      <c r="AF4" s="3"/>
    </row>
    <row r="5" spans="1:32" ht="7.5" customHeight="1"/>
    <row r="6" spans="1:32">
      <c r="A6" t="s">
        <v>13</v>
      </c>
      <c r="B6" s="4">
        <v>2819</v>
      </c>
      <c r="C6" s="4">
        <v>2841.75</v>
      </c>
      <c r="D6" s="4">
        <v>2857</v>
      </c>
      <c r="E6" s="4">
        <v>2752</v>
      </c>
      <c r="F6" s="4">
        <v>2655.75</v>
      </c>
      <c r="G6" s="4">
        <v>2894</v>
      </c>
      <c r="H6" s="4">
        <v>2813.25</v>
      </c>
      <c r="I6" s="4">
        <v>2736.5</v>
      </c>
      <c r="J6" s="4">
        <v>2812.25</v>
      </c>
      <c r="K6" s="4">
        <v>2860.25</v>
      </c>
      <c r="L6" s="4">
        <v>2772.75</v>
      </c>
      <c r="M6" s="4">
        <v>2841.5</v>
      </c>
      <c r="N6" s="4">
        <v>2630.25</v>
      </c>
    </row>
    <row r="7" spans="1:32">
      <c r="A7" t="s">
        <v>14</v>
      </c>
      <c r="B7" s="4">
        <v>529.5</v>
      </c>
      <c r="C7" s="4">
        <v>436.25</v>
      </c>
      <c r="D7" s="4">
        <v>439</v>
      </c>
      <c r="E7" s="4">
        <v>114</v>
      </c>
      <c r="F7" s="4">
        <v>180.25</v>
      </c>
      <c r="G7" s="4">
        <v>362.25</v>
      </c>
      <c r="H7" s="4">
        <v>363.5</v>
      </c>
      <c r="I7" s="4">
        <v>206.5</v>
      </c>
      <c r="J7" s="4">
        <v>387</v>
      </c>
      <c r="K7" s="4">
        <v>283.5</v>
      </c>
      <c r="L7" s="4">
        <v>370.25</v>
      </c>
      <c r="M7" s="4">
        <v>469.75</v>
      </c>
      <c r="N7" s="4">
        <v>143.25</v>
      </c>
    </row>
    <row r="8" spans="1:32">
      <c r="A8" t="s">
        <v>15</v>
      </c>
      <c r="B8" s="5">
        <f>SUM(B6:B7)</f>
        <v>3348.5</v>
      </c>
      <c r="C8" s="5">
        <f t="shared" ref="C8:N8" si="1">SUM(C6:C7)</f>
        <v>3278</v>
      </c>
      <c r="D8" s="5">
        <f t="shared" si="1"/>
        <v>3296</v>
      </c>
      <c r="E8" s="5">
        <f t="shared" si="1"/>
        <v>2866</v>
      </c>
      <c r="F8" s="5">
        <f t="shared" si="1"/>
        <v>2836</v>
      </c>
      <c r="G8" s="5">
        <f t="shared" si="1"/>
        <v>3256.25</v>
      </c>
      <c r="H8" s="5">
        <f t="shared" si="1"/>
        <v>3176.75</v>
      </c>
      <c r="I8" s="5">
        <f t="shared" si="1"/>
        <v>2943</v>
      </c>
      <c r="J8" s="5">
        <f t="shared" si="1"/>
        <v>3199.25</v>
      </c>
      <c r="K8" s="5">
        <f t="shared" si="1"/>
        <v>3143.75</v>
      </c>
      <c r="L8" s="5">
        <f t="shared" si="1"/>
        <v>3143</v>
      </c>
      <c r="M8" s="5">
        <f t="shared" si="1"/>
        <v>3311.25</v>
      </c>
      <c r="N8" s="5">
        <f t="shared" si="1"/>
        <v>2773.5</v>
      </c>
    </row>
    <row r="9" spans="1:32" ht="8.25" customHeight="1"/>
    <row r="10" spans="1:32">
      <c r="A10" t="s">
        <v>16</v>
      </c>
      <c r="B10" s="6">
        <v>40955.39</v>
      </c>
      <c r="C10" s="6">
        <v>41016.33</v>
      </c>
      <c r="D10" s="6">
        <v>41235.32</v>
      </c>
      <c r="E10" s="6">
        <v>39738.839999999997</v>
      </c>
      <c r="F10" s="6">
        <v>38358.17</v>
      </c>
      <c r="G10" s="6">
        <v>41779.440000000002</v>
      </c>
      <c r="H10" s="6">
        <v>40592.269999999997</v>
      </c>
      <c r="I10" s="6">
        <v>39493.879999999997</v>
      </c>
      <c r="J10" s="6">
        <v>40591.64</v>
      </c>
      <c r="K10" s="6">
        <v>41294.79</v>
      </c>
      <c r="L10" s="6">
        <v>39987.97</v>
      </c>
      <c r="M10" s="6">
        <v>40995.94</v>
      </c>
      <c r="N10" s="6">
        <v>37986.26</v>
      </c>
    </row>
    <row r="11" spans="1:32">
      <c r="A11" t="s">
        <v>17</v>
      </c>
      <c r="B11" s="6">
        <v>11091.86</v>
      </c>
      <c r="C11" s="6">
        <v>9045.4</v>
      </c>
      <c r="D11" s="6">
        <v>9117.59</v>
      </c>
      <c r="E11" s="6">
        <v>2364.5100000000002</v>
      </c>
      <c r="F11" s="6">
        <v>3731.19</v>
      </c>
      <c r="G11" s="6">
        <v>7542.81</v>
      </c>
      <c r="H11" s="6">
        <v>7567.47</v>
      </c>
      <c r="I11" s="6">
        <v>4273.1400000000003</v>
      </c>
      <c r="J11" s="6">
        <v>8046.79</v>
      </c>
      <c r="K11" s="6">
        <v>5900.17</v>
      </c>
      <c r="L11" s="6">
        <v>7685.8</v>
      </c>
      <c r="M11" s="6">
        <v>9757.93</v>
      </c>
      <c r="N11" s="6">
        <v>2963.24</v>
      </c>
    </row>
    <row r="12" spans="1:32">
      <c r="A12" t="s">
        <v>18</v>
      </c>
      <c r="B12" s="7">
        <f>SUM(B10:B11)</f>
        <v>52047.25</v>
      </c>
      <c r="C12" s="7">
        <f t="shared" ref="C12:N12" si="2">SUM(C10:C11)</f>
        <v>50061.73</v>
      </c>
      <c r="D12" s="7">
        <f t="shared" si="2"/>
        <v>50352.91</v>
      </c>
      <c r="E12" s="7">
        <f t="shared" si="2"/>
        <v>42103.35</v>
      </c>
      <c r="F12" s="7">
        <f t="shared" si="2"/>
        <v>42089.36</v>
      </c>
      <c r="G12" s="7">
        <f t="shared" si="2"/>
        <v>49322.25</v>
      </c>
      <c r="H12" s="7">
        <f t="shared" si="2"/>
        <v>48159.74</v>
      </c>
      <c r="I12" s="7">
        <f t="shared" si="2"/>
        <v>43767.02</v>
      </c>
      <c r="J12" s="7">
        <f t="shared" si="2"/>
        <v>48638.43</v>
      </c>
      <c r="K12" s="7">
        <f t="shared" si="2"/>
        <v>47194.96</v>
      </c>
      <c r="L12" s="7">
        <f t="shared" si="2"/>
        <v>47673.770000000004</v>
      </c>
      <c r="M12" s="7">
        <f t="shared" si="2"/>
        <v>50753.87</v>
      </c>
      <c r="N12" s="7">
        <f t="shared" si="2"/>
        <v>40949.5</v>
      </c>
    </row>
    <row r="13" spans="1:32" ht="7.5" customHeight="1"/>
    <row r="14" spans="1:32">
      <c r="A14" t="s">
        <v>19</v>
      </c>
      <c r="B14" s="8">
        <f>B10/B6</f>
        <v>14.528339836821567</v>
      </c>
      <c r="C14" s="8">
        <f t="shared" ref="C14:N16" si="3">C10/C6</f>
        <v>14.43347585114806</v>
      </c>
      <c r="D14" s="8">
        <f t="shared" si="3"/>
        <v>14.43308365418271</v>
      </c>
      <c r="E14" s="8">
        <f t="shared" si="3"/>
        <v>14.439985465116278</v>
      </c>
      <c r="F14" s="8">
        <f t="shared" si="3"/>
        <v>14.443441589004989</v>
      </c>
      <c r="G14" s="8">
        <f t="shared" si="3"/>
        <v>14.436572218382862</v>
      </c>
      <c r="H14" s="8">
        <f t="shared" si="3"/>
        <v>14.428959388607481</v>
      </c>
      <c r="I14" s="8">
        <f t="shared" si="3"/>
        <v>14.432260186369449</v>
      </c>
      <c r="J14" s="8">
        <f t="shared" si="3"/>
        <v>14.433866121433017</v>
      </c>
      <c r="K14" s="8">
        <f t="shared" si="3"/>
        <v>14.437475745127175</v>
      </c>
      <c r="L14" s="8">
        <f t="shared" si="3"/>
        <v>14.421772608421243</v>
      </c>
      <c r="M14" s="8">
        <f t="shared" si="3"/>
        <v>14.427569945451348</v>
      </c>
      <c r="N14" s="8">
        <f t="shared" si="3"/>
        <v>14.442072046383425</v>
      </c>
    </row>
    <row r="15" spans="1:32">
      <c r="A15" t="s">
        <v>20</v>
      </c>
      <c r="B15" s="8">
        <f>B11/B7</f>
        <v>20.947799811142588</v>
      </c>
      <c r="C15" s="8">
        <f t="shared" si="3"/>
        <v>20.734441260744983</v>
      </c>
      <c r="D15" s="8">
        <f t="shared" si="3"/>
        <v>20.768997722095673</v>
      </c>
      <c r="E15" s="8">
        <f t="shared" si="3"/>
        <v>20.741315789473685</v>
      </c>
      <c r="F15" s="8">
        <f t="shared" si="3"/>
        <v>20.700083217753122</v>
      </c>
      <c r="G15" s="8">
        <f t="shared" si="3"/>
        <v>20.822111801242237</v>
      </c>
      <c r="H15" s="8">
        <f t="shared" si="3"/>
        <v>20.818349381017882</v>
      </c>
      <c r="I15" s="8">
        <f t="shared" si="3"/>
        <v>20.693171912832931</v>
      </c>
      <c r="J15" s="8">
        <f t="shared" si="3"/>
        <v>20.792739018087854</v>
      </c>
      <c r="K15" s="8">
        <f t="shared" si="3"/>
        <v>20.811887125220458</v>
      </c>
      <c r="L15" s="8">
        <f t="shared" si="3"/>
        <v>20.758406482106686</v>
      </c>
      <c r="M15" s="8">
        <f t="shared" si="3"/>
        <v>20.772602448110696</v>
      </c>
      <c r="N15" s="8">
        <f t="shared" si="3"/>
        <v>20.685794066317627</v>
      </c>
    </row>
    <row r="16" spans="1:32">
      <c r="A16" t="s">
        <v>21</v>
      </c>
      <c r="B16" s="9">
        <f>B12/B8</f>
        <v>15.543452292071077</v>
      </c>
      <c r="C16" s="9">
        <f t="shared" si="3"/>
        <v>15.272034777303235</v>
      </c>
      <c r="D16" s="9">
        <f t="shared" si="3"/>
        <v>15.276975121359225</v>
      </c>
      <c r="E16" s="9">
        <f t="shared" si="3"/>
        <v>14.690631542219121</v>
      </c>
      <c r="F16" s="9">
        <f t="shared" si="3"/>
        <v>14.841100141043723</v>
      </c>
      <c r="G16" s="9">
        <f t="shared" si="3"/>
        <v>15.146948176583493</v>
      </c>
      <c r="H16" s="9">
        <f t="shared" si="3"/>
        <v>15.160066105296293</v>
      </c>
      <c r="I16" s="9">
        <f t="shared" si="3"/>
        <v>14.871566428814134</v>
      </c>
      <c r="J16" s="9">
        <f t="shared" si="3"/>
        <v>15.203072595139487</v>
      </c>
      <c r="K16" s="9">
        <f t="shared" si="3"/>
        <v>15.012313320079523</v>
      </c>
      <c r="L16" s="9">
        <f t="shared" si="3"/>
        <v>15.1682373528476</v>
      </c>
      <c r="M16" s="9">
        <f t="shared" si="3"/>
        <v>15.327707059267649</v>
      </c>
      <c r="N16" s="9">
        <f t="shared" si="3"/>
        <v>14.764557418424374</v>
      </c>
    </row>
    <row r="17" spans="1:14" ht="7.5" customHeight="1"/>
    <row r="18" spans="1:14">
      <c r="B18" s="2">
        <f>N4+7</f>
        <v>42106</v>
      </c>
      <c r="C18" s="2">
        <f t="shared" ref="C18:N18" si="4">B18+7</f>
        <v>42113</v>
      </c>
      <c r="D18" s="2">
        <f t="shared" si="4"/>
        <v>42120</v>
      </c>
      <c r="E18" s="2">
        <f t="shared" si="4"/>
        <v>42127</v>
      </c>
      <c r="F18" s="2">
        <f t="shared" si="4"/>
        <v>42134</v>
      </c>
      <c r="G18" s="2">
        <f t="shared" si="4"/>
        <v>42141</v>
      </c>
      <c r="H18" s="2">
        <f t="shared" si="4"/>
        <v>42148</v>
      </c>
      <c r="I18" s="2">
        <f t="shared" si="4"/>
        <v>42155</v>
      </c>
      <c r="J18" s="2">
        <f t="shared" si="4"/>
        <v>42162</v>
      </c>
      <c r="K18" s="2">
        <f t="shared" si="4"/>
        <v>42169</v>
      </c>
      <c r="L18" s="2">
        <f t="shared" si="4"/>
        <v>42176</v>
      </c>
      <c r="M18" s="2">
        <f t="shared" si="4"/>
        <v>42183</v>
      </c>
      <c r="N18" s="2">
        <f t="shared" si="4"/>
        <v>42190</v>
      </c>
    </row>
    <row r="19" spans="1:14" ht="7.5" customHeight="1"/>
    <row r="20" spans="1:14">
      <c r="A20" t="s">
        <v>13</v>
      </c>
      <c r="B20" s="4">
        <v>2589</v>
      </c>
      <c r="C20" s="4">
        <v>2832.5</v>
      </c>
      <c r="D20" s="4">
        <v>2562.75</v>
      </c>
      <c r="E20" s="4">
        <v>2822.25</v>
      </c>
      <c r="F20" s="4">
        <v>2776.75</v>
      </c>
      <c r="G20" s="4">
        <v>2683</v>
      </c>
      <c r="H20" s="4">
        <v>2862</v>
      </c>
      <c r="I20" s="4">
        <v>2847.75</v>
      </c>
      <c r="J20" s="4">
        <v>2642.25</v>
      </c>
      <c r="K20" s="4">
        <v>2770.5</v>
      </c>
      <c r="L20" s="4">
        <v>2785.75</v>
      </c>
      <c r="M20" s="4">
        <v>2672</v>
      </c>
      <c r="N20" s="4">
        <v>2892.25</v>
      </c>
    </row>
    <row r="21" spans="1:14">
      <c r="A21" t="s">
        <v>14</v>
      </c>
      <c r="B21" s="4">
        <v>128.5</v>
      </c>
      <c r="C21" s="4">
        <v>502.5</v>
      </c>
      <c r="D21" s="4">
        <v>164.25</v>
      </c>
      <c r="E21" s="4">
        <v>508</v>
      </c>
      <c r="F21" s="4">
        <v>357.5</v>
      </c>
      <c r="G21" s="4">
        <v>159.75</v>
      </c>
      <c r="H21" s="4">
        <v>260.5</v>
      </c>
      <c r="I21" s="4">
        <v>410</v>
      </c>
      <c r="J21" s="4">
        <v>194.75</v>
      </c>
      <c r="K21" s="4">
        <v>423.25</v>
      </c>
      <c r="L21" s="4">
        <v>575</v>
      </c>
      <c r="M21" s="4">
        <v>209.75</v>
      </c>
      <c r="N21" s="4">
        <v>646</v>
      </c>
    </row>
    <row r="22" spans="1:14">
      <c r="A22" t="s">
        <v>15</v>
      </c>
      <c r="B22" s="5">
        <f t="shared" ref="B22:N22" si="5">SUM(B20:B21)</f>
        <v>2717.5</v>
      </c>
      <c r="C22" s="5">
        <f t="shared" si="5"/>
        <v>3335</v>
      </c>
      <c r="D22" s="5">
        <f t="shared" si="5"/>
        <v>2727</v>
      </c>
      <c r="E22" s="5">
        <f t="shared" si="5"/>
        <v>3330.25</v>
      </c>
      <c r="F22" s="5">
        <f t="shared" si="5"/>
        <v>3134.25</v>
      </c>
      <c r="G22" s="5">
        <f t="shared" si="5"/>
        <v>2842.75</v>
      </c>
      <c r="H22" s="5">
        <f t="shared" si="5"/>
        <v>3122.5</v>
      </c>
      <c r="I22" s="5">
        <f t="shared" si="5"/>
        <v>3257.75</v>
      </c>
      <c r="J22" s="5">
        <f t="shared" si="5"/>
        <v>2837</v>
      </c>
      <c r="K22" s="5">
        <f t="shared" si="5"/>
        <v>3193.75</v>
      </c>
      <c r="L22" s="5">
        <f t="shared" si="5"/>
        <v>3360.75</v>
      </c>
      <c r="M22" s="5">
        <f t="shared" si="5"/>
        <v>2881.75</v>
      </c>
      <c r="N22" s="5">
        <f t="shared" si="5"/>
        <v>3538.25</v>
      </c>
    </row>
    <row r="23" spans="1:14" ht="8.25" customHeight="1"/>
    <row r="24" spans="1:14">
      <c r="A24" t="s">
        <v>16</v>
      </c>
      <c r="B24" s="6">
        <v>43088.5</v>
      </c>
      <c r="C24" s="6">
        <v>47135.39</v>
      </c>
      <c r="D24" s="6">
        <v>42033.63</v>
      </c>
      <c r="E24" s="6">
        <v>46270.46</v>
      </c>
      <c r="F24" s="6">
        <v>45529.279999999999</v>
      </c>
      <c r="G24" s="6">
        <v>44002.1</v>
      </c>
      <c r="H24" s="6">
        <v>46918.03</v>
      </c>
      <c r="I24" s="6">
        <v>46685.89</v>
      </c>
      <c r="J24" s="6">
        <v>43338.33</v>
      </c>
      <c r="K24" s="6">
        <v>45298.720000000001</v>
      </c>
      <c r="L24" s="6">
        <v>45641.11</v>
      </c>
      <c r="M24" s="6">
        <v>43822.89</v>
      </c>
      <c r="N24" s="6">
        <v>47358.23</v>
      </c>
    </row>
    <row r="25" spans="1:14">
      <c r="A25" t="s">
        <v>17</v>
      </c>
      <c r="B25" s="6">
        <v>3183.03</v>
      </c>
      <c r="C25" s="6">
        <v>12456.24</v>
      </c>
      <c r="D25" s="6">
        <v>3947.31</v>
      </c>
      <c r="E25" s="6">
        <v>12145.97</v>
      </c>
      <c r="F25" s="6">
        <v>8573.32</v>
      </c>
      <c r="G25" s="6">
        <v>3862.77</v>
      </c>
      <c r="H25" s="6">
        <v>6309.29</v>
      </c>
      <c r="I25" s="6">
        <v>9763.7199999999993</v>
      </c>
      <c r="J25" s="6">
        <v>4685.3599999999997</v>
      </c>
      <c r="K25" s="6">
        <v>10011.52</v>
      </c>
      <c r="L25" s="6">
        <v>13604.5</v>
      </c>
      <c r="M25" s="6">
        <v>5039.1899999999996</v>
      </c>
      <c r="N25" s="6">
        <v>15391.07</v>
      </c>
    </row>
    <row r="26" spans="1:14">
      <c r="A26" t="s">
        <v>18</v>
      </c>
      <c r="B26" s="7">
        <f t="shared" ref="B26:N26" si="6">SUM(B24:B25)</f>
        <v>46271.53</v>
      </c>
      <c r="C26" s="7">
        <f t="shared" si="6"/>
        <v>59591.63</v>
      </c>
      <c r="D26" s="7">
        <f t="shared" si="6"/>
        <v>45980.939999999995</v>
      </c>
      <c r="E26" s="7">
        <f t="shared" si="6"/>
        <v>58416.43</v>
      </c>
      <c r="F26" s="7">
        <f t="shared" si="6"/>
        <v>54102.6</v>
      </c>
      <c r="G26" s="7">
        <f t="shared" si="6"/>
        <v>47864.869999999995</v>
      </c>
      <c r="H26" s="7">
        <f t="shared" si="6"/>
        <v>53227.32</v>
      </c>
      <c r="I26" s="7">
        <f t="shared" si="6"/>
        <v>56449.61</v>
      </c>
      <c r="J26" s="7">
        <f t="shared" si="6"/>
        <v>48023.69</v>
      </c>
      <c r="K26" s="7">
        <f t="shared" si="6"/>
        <v>55310.240000000005</v>
      </c>
      <c r="L26" s="7">
        <f t="shared" si="6"/>
        <v>59245.61</v>
      </c>
      <c r="M26" s="7">
        <f t="shared" si="6"/>
        <v>48862.080000000002</v>
      </c>
      <c r="N26" s="7">
        <f t="shared" si="6"/>
        <v>62749.3</v>
      </c>
    </row>
    <row r="27" spans="1:14" ht="7.5" customHeight="1"/>
    <row r="28" spans="1:14">
      <c r="A28" t="s">
        <v>19</v>
      </c>
      <c r="B28" s="8">
        <f t="shared" ref="B28:N28" si="7">B24/B20</f>
        <v>16.642912321359599</v>
      </c>
      <c r="C28" s="8">
        <f t="shared" si="7"/>
        <v>16.640914386584289</v>
      </c>
      <c r="D28" s="8">
        <f t="shared" si="7"/>
        <v>16.401767632426104</v>
      </c>
      <c r="E28" s="8">
        <f t="shared" si="7"/>
        <v>16.394883514926033</v>
      </c>
      <c r="F28" s="8">
        <f t="shared" si="7"/>
        <v>16.396607544791571</v>
      </c>
      <c r="G28" s="8">
        <f t="shared" si="7"/>
        <v>16.400335445396944</v>
      </c>
      <c r="H28" s="8">
        <f t="shared" si="7"/>
        <v>16.393441649196365</v>
      </c>
      <c r="I28" s="8">
        <f t="shared" si="7"/>
        <v>16.393956632429109</v>
      </c>
      <c r="J28" s="8">
        <f t="shared" si="7"/>
        <v>16.402055066704513</v>
      </c>
      <c r="K28" s="8">
        <f t="shared" si="7"/>
        <v>16.350377188233171</v>
      </c>
      <c r="L28" s="8">
        <f t="shared" si="7"/>
        <v>16.383778156690298</v>
      </c>
      <c r="M28" s="8">
        <f t="shared" si="7"/>
        <v>16.400782185628742</v>
      </c>
      <c r="N28" s="8">
        <f t="shared" si="7"/>
        <v>16.374182729708707</v>
      </c>
    </row>
    <row r="29" spans="1:14">
      <c r="A29" t="s">
        <v>20</v>
      </c>
      <c r="B29" s="8">
        <f t="shared" ref="B29:N30" si="8">B25/B21</f>
        <v>24.770661478599223</v>
      </c>
      <c r="C29" s="8">
        <f t="shared" si="8"/>
        <v>24.788537313432837</v>
      </c>
      <c r="D29" s="8">
        <f t="shared" si="8"/>
        <v>24.032328767123289</v>
      </c>
      <c r="E29" s="8">
        <f t="shared" si="8"/>
        <v>23.909389763779526</v>
      </c>
      <c r="F29" s="8">
        <f t="shared" si="8"/>
        <v>23.981314685314686</v>
      </c>
      <c r="G29" s="8">
        <f t="shared" si="8"/>
        <v>24.180093896713615</v>
      </c>
      <c r="H29" s="8">
        <f t="shared" si="8"/>
        <v>24.219923224568138</v>
      </c>
      <c r="I29" s="8">
        <f t="shared" si="8"/>
        <v>23.813951219512195</v>
      </c>
      <c r="J29" s="8">
        <f t="shared" si="8"/>
        <v>24.058331193838253</v>
      </c>
      <c r="K29" s="8">
        <f t="shared" si="8"/>
        <v>23.6539161252215</v>
      </c>
      <c r="L29" s="8">
        <f t="shared" si="8"/>
        <v>23.66</v>
      </c>
      <c r="M29" s="8">
        <f t="shared" si="8"/>
        <v>24.024743742550655</v>
      </c>
      <c r="N29" s="8">
        <f t="shared" si="8"/>
        <v>23.825185758513932</v>
      </c>
    </row>
    <row r="30" spans="1:14">
      <c r="A30" t="s">
        <v>21</v>
      </c>
      <c r="B30" s="9">
        <f t="shared" si="8"/>
        <v>17.027241950321987</v>
      </c>
      <c r="C30" s="9">
        <f t="shared" si="8"/>
        <v>17.868554722638681</v>
      </c>
      <c r="D30" s="9">
        <f t="shared" si="8"/>
        <v>16.861364136413641</v>
      </c>
      <c r="E30" s="9">
        <f t="shared" si="8"/>
        <v>17.541154567975376</v>
      </c>
      <c r="F30" s="9">
        <f t="shared" si="8"/>
        <v>17.261737257717158</v>
      </c>
      <c r="G30" s="9">
        <f t="shared" si="8"/>
        <v>16.837523524755955</v>
      </c>
      <c r="H30" s="9">
        <f t="shared" si="8"/>
        <v>17.046379503602882</v>
      </c>
      <c r="I30" s="9">
        <f t="shared" si="8"/>
        <v>17.327790653058091</v>
      </c>
      <c r="J30" s="9">
        <f t="shared" si="8"/>
        <v>16.927631300669724</v>
      </c>
      <c r="K30" s="9">
        <f t="shared" si="8"/>
        <v>17.318274755381605</v>
      </c>
      <c r="L30" s="9">
        <f t="shared" si="8"/>
        <v>17.628687049021796</v>
      </c>
      <c r="M30" s="9">
        <f t="shared" si="8"/>
        <v>16.955697059078684</v>
      </c>
      <c r="N30" s="9">
        <f t="shared" si="8"/>
        <v>17.734558044230905</v>
      </c>
    </row>
    <row r="31" spans="1:14" ht="7.5" customHeight="1"/>
    <row r="32" spans="1:14">
      <c r="B32" s="2">
        <f>N18+7</f>
        <v>42197</v>
      </c>
      <c r="C32" s="2">
        <f t="shared" ref="C32:N32" si="9">B32+7</f>
        <v>42204</v>
      </c>
      <c r="D32" s="2">
        <f t="shared" si="9"/>
        <v>42211</v>
      </c>
      <c r="E32" s="2">
        <f t="shared" si="9"/>
        <v>42218</v>
      </c>
      <c r="F32" s="2">
        <f t="shared" si="9"/>
        <v>42225</v>
      </c>
      <c r="G32" s="2">
        <f t="shared" si="9"/>
        <v>42232</v>
      </c>
      <c r="H32" s="2">
        <f t="shared" si="9"/>
        <v>42239</v>
      </c>
      <c r="I32" s="2">
        <f t="shared" si="9"/>
        <v>42246</v>
      </c>
      <c r="J32" s="2">
        <f t="shared" si="9"/>
        <v>42253</v>
      </c>
      <c r="K32" s="2">
        <f t="shared" si="9"/>
        <v>42260</v>
      </c>
      <c r="L32" s="10">
        <f t="shared" si="9"/>
        <v>42267</v>
      </c>
      <c r="M32" s="10">
        <f t="shared" si="9"/>
        <v>42274</v>
      </c>
      <c r="N32" s="10">
        <f t="shared" si="9"/>
        <v>42281</v>
      </c>
    </row>
    <row r="33" spans="1:14" ht="6.75" customHeight="1"/>
    <row r="34" spans="1:14">
      <c r="A34" t="s">
        <v>13</v>
      </c>
      <c r="B34" s="4">
        <v>3017.25</v>
      </c>
      <c r="C34" s="4">
        <v>2990</v>
      </c>
      <c r="D34" s="4">
        <v>3170.25</v>
      </c>
      <c r="E34" s="4">
        <v>3092.75</v>
      </c>
      <c r="F34" s="4">
        <v>3184.5</v>
      </c>
      <c r="G34" s="4">
        <v>3208.5</v>
      </c>
      <c r="H34" s="4">
        <v>3110.75</v>
      </c>
      <c r="I34" s="4">
        <v>3151.25</v>
      </c>
      <c r="J34" s="4">
        <v>3202.75</v>
      </c>
      <c r="K34" s="4">
        <v>3024.25</v>
      </c>
      <c r="L34" s="4"/>
      <c r="M34" s="4"/>
      <c r="N34" s="4"/>
    </row>
    <row r="35" spans="1:14">
      <c r="A35" t="s">
        <v>14</v>
      </c>
      <c r="B35" s="4">
        <v>407.5</v>
      </c>
      <c r="C35" s="4">
        <v>349.5</v>
      </c>
      <c r="D35" s="4">
        <v>472.75</v>
      </c>
      <c r="E35" s="4">
        <v>356</v>
      </c>
      <c r="F35" s="4">
        <v>491.25</v>
      </c>
      <c r="G35" s="4">
        <v>520.25</v>
      </c>
      <c r="H35" s="4">
        <v>389</v>
      </c>
      <c r="I35" s="4">
        <v>424.75</v>
      </c>
      <c r="J35" s="4">
        <v>560.5</v>
      </c>
      <c r="K35" s="4">
        <v>123</v>
      </c>
      <c r="L35" s="4"/>
      <c r="M35" s="4"/>
      <c r="N35" s="4"/>
    </row>
    <row r="36" spans="1:14">
      <c r="A36" t="s">
        <v>15</v>
      </c>
      <c r="B36" s="5">
        <f t="shared" ref="B36:N36" si="10">SUM(B34:B35)</f>
        <v>3424.75</v>
      </c>
      <c r="C36" s="5">
        <f t="shared" si="10"/>
        <v>3339.5</v>
      </c>
      <c r="D36" s="5">
        <f t="shared" si="10"/>
        <v>3643</v>
      </c>
      <c r="E36" s="5">
        <f t="shared" si="10"/>
        <v>3448.75</v>
      </c>
      <c r="F36" s="5">
        <f t="shared" si="10"/>
        <v>3675.75</v>
      </c>
      <c r="G36" s="5">
        <f t="shared" si="10"/>
        <v>3728.75</v>
      </c>
      <c r="H36" s="5">
        <f t="shared" si="10"/>
        <v>3499.75</v>
      </c>
      <c r="I36" s="5">
        <f t="shared" si="10"/>
        <v>3576</v>
      </c>
      <c r="J36" s="5">
        <f t="shared" si="10"/>
        <v>3763.25</v>
      </c>
      <c r="K36" s="5">
        <f t="shared" si="10"/>
        <v>3147.25</v>
      </c>
      <c r="L36" s="5">
        <f t="shared" si="10"/>
        <v>0</v>
      </c>
      <c r="M36" s="5">
        <f t="shared" si="10"/>
        <v>0</v>
      </c>
      <c r="N36" s="5">
        <f t="shared" si="10"/>
        <v>0</v>
      </c>
    </row>
    <row r="37" spans="1:14" ht="6.75" customHeight="1"/>
    <row r="38" spans="1:14">
      <c r="A38" t="s">
        <v>16</v>
      </c>
      <c r="B38" s="6">
        <v>49445.18</v>
      </c>
      <c r="C38" s="6">
        <v>49003.11</v>
      </c>
      <c r="D38" s="6">
        <v>51880.19</v>
      </c>
      <c r="E38" s="6">
        <v>50622.19</v>
      </c>
      <c r="F38" s="6">
        <v>52218.16</v>
      </c>
      <c r="G38" s="6">
        <v>52562.47</v>
      </c>
      <c r="H38" s="6">
        <v>50970.13</v>
      </c>
      <c r="I38" s="6">
        <v>51653.54</v>
      </c>
      <c r="J38" s="6">
        <v>52468.800000000003</v>
      </c>
      <c r="K38" s="6">
        <v>49513.75</v>
      </c>
      <c r="L38" s="6"/>
      <c r="M38" s="6"/>
      <c r="N38" s="6"/>
    </row>
    <row r="39" spans="1:14">
      <c r="A39" t="s">
        <v>17</v>
      </c>
      <c r="B39" s="6">
        <v>9734.83</v>
      </c>
      <c r="C39" s="6">
        <v>8375.26</v>
      </c>
      <c r="D39" s="6">
        <v>11233.87</v>
      </c>
      <c r="E39" s="6">
        <v>8514.41</v>
      </c>
      <c r="F39" s="6">
        <v>11753.64</v>
      </c>
      <c r="G39" s="6">
        <v>12397</v>
      </c>
      <c r="H39" s="6">
        <v>9332.7999999999993</v>
      </c>
      <c r="I39" s="6">
        <v>10107.83</v>
      </c>
      <c r="J39" s="6">
        <v>13382.89</v>
      </c>
      <c r="K39" s="6">
        <v>2969.5</v>
      </c>
      <c r="L39" s="6"/>
      <c r="M39" s="6"/>
      <c r="N39" s="6"/>
    </row>
    <row r="40" spans="1:14">
      <c r="A40" t="s">
        <v>18</v>
      </c>
      <c r="B40" s="7">
        <f t="shared" ref="B40:N40" si="11">SUM(B38:B39)</f>
        <v>59180.01</v>
      </c>
      <c r="C40" s="7">
        <f t="shared" si="11"/>
        <v>57378.37</v>
      </c>
      <c r="D40" s="7">
        <f t="shared" si="11"/>
        <v>63114.060000000005</v>
      </c>
      <c r="E40" s="7">
        <f t="shared" si="11"/>
        <v>59136.600000000006</v>
      </c>
      <c r="F40" s="7">
        <f t="shared" si="11"/>
        <v>63971.8</v>
      </c>
      <c r="G40" s="7">
        <f t="shared" si="11"/>
        <v>64959.47</v>
      </c>
      <c r="H40" s="7">
        <f t="shared" si="11"/>
        <v>60302.929999999993</v>
      </c>
      <c r="I40" s="7">
        <f t="shared" si="11"/>
        <v>61761.37</v>
      </c>
      <c r="J40" s="7">
        <f t="shared" si="11"/>
        <v>65851.69</v>
      </c>
      <c r="K40" s="7">
        <f t="shared" si="11"/>
        <v>52483.25</v>
      </c>
      <c r="L40" s="7">
        <f t="shared" si="11"/>
        <v>0</v>
      </c>
      <c r="M40" s="7">
        <f t="shared" si="11"/>
        <v>0</v>
      </c>
      <c r="N40" s="7">
        <f t="shared" si="11"/>
        <v>0</v>
      </c>
    </row>
    <row r="41" spans="1:14" ht="8.25" customHeight="1"/>
    <row r="42" spans="1:14">
      <c r="A42" t="s">
        <v>19</v>
      </c>
      <c r="B42" s="8">
        <f t="shared" ref="B42:N44" si="12">B38/B34</f>
        <v>16.387498550004143</v>
      </c>
      <c r="C42" s="8">
        <f t="shared" si="12"/>
        <v>16.388999999999999</v>
      </c>
      <c r="D42" s="8">
        <f t="shared" si="12"/>
        <v>16.364699944799305</v>
      </c>
      <c r="E42" s="8">
        <f t="shared" si="12"/>
        <v>16.368018753536496</v>
      </c>
      <c r="F42" s="8">
        <f t="shared" si="12"/>
        <v>16.39760087925891</v>
      </c>
      <c r="G42" s="8">
        <f t="shared" si="12"/>
        <v>16.382256506155525</v>
      </c>
      <c r="H42" s="8">
        <f t="shared" si="12"/>
        <v>16.385157920115727</v>
      </c>
      <c r="I42" s="8">
        <f t="shared" si="12"/>
        <v>16.391444664815548</v>
      </c>
      <c r="J42" s="8">
        <f t="shared" si="12"/>
        <v>16.382421356646631</v>
      </c>
      <c r="K42" s="8">
        <f t="shared" si="12"/>
        <v>16.372241051500371</v>
      </c>
      <c r="L42" s="8" t="e">
        <f t="shared" si="12"/>
        <v>#DIV/0!</v>
      </c>
      <c r="M42" s="8" t="e">
        <f t="shared" si="12"/>
        <v>#DIV/0!</v>
      </c>
      <c r="N42" s="8" t="e">
        <f t="shared" si="12"/>
        <v>#DIV/0!</v>
      </c>
    </row>
    <row r="43" spans="1:14">
      <c r="A43" t="s">
        <v>20</v>
      </c>
      <c r="B43" s="8">
        <f t="shared" si="12"/>
        <v>23.889153374233128</v>
      </c>
      <c r="C43" s="8">
        <f t="shared" si="12"/>
        <v>23.963547925608012</v>
      </c>
      <c r="D43" s="8">
        <f t="shared" si="12"/>
        <v>23.762813326282391</v>
      </c>
      <c r="E43" s="8">
        <f t="shared" si="12"/>
        <v>23.91688202247191</v>
      </c>
      <c r="F43" s="8">
        <f t="shared" si="12"/>
        <v>23.925984732824425</v>
      </c>
      <c r="G43" s="8">
        <f t="shared" si="12"/>
        <v>23.828928399807786</v>
      </c>
      <c r="H43" s="8">
        <f t="shared" si="12"/>
        <v>23.991773778920308</v>
      </c>
      <c r="I43" s="8">
        <f t="shared" si="12"/>
        <v>23.797127722189522</v>
      </c>
      <c r="J43" s="8">
        <f t="shared" si="12"/>
        <v>23.876699375557536</v>
      </c>
      <c r="K43" s="8">
        <f t="shared" si="12"/>
        <v>24.142276422764226</v>
      </c>
      <c r="L43" s="8" t="e">
        <f t="shared" si="12"/>
        <v>#DIV/0!</v>
      </c>
      <c r="M43" s="8" t="e">
        <f t="shared" si="12"/>
        <v>#DIV/0!</v>
      </c>
      <c r="N43" s="8" t="e">
        <f t="shared" si="12"/>
        <v>#DIV/0!</v>
      </c>
    </row>
    <row r="44" spans="1:14">
      <c r="A44" t="s">
        <v>21</v>
      </c>
      <c r="B44" s="9">
        <f t="shared" si="12"/>
        <v>17.280096357398349</v>
      </c>
      <c r="C44" s="9">
        <f t="shared" si="12"/>
        <v>17.181724809103159</v>
      </c>
      <c r="D44" s="9">
        <f t="shared" si="12"/>
        <v>17.324748833379086</v>
      </c>
      <c r="E44" s="9">
        <f t="shared" si="12"/>
        <v>17.147256252265315</v>
      </c>
      <c r="F44" s="9">
        <f t="shared" si="12"/>
        <v>17.403740733183703</v>
      </c>
      <c r="G44" s="9">
        <f t="shared" si="12"/>
        <v>17.421245725779418</v>
      </c>
      <c r="H44" s="9">
        <f t="shared" si="12"/>
        <v>17.230639331380811</v>
      </c>
      <c r="I44" s="9">
        <f t="shared" si="12"/>
        <v>17.271076621923939</v>
      </c>
      <c r="J44" s="9">
        <f t="shared" si="12"/>
        <v>17.498622201554507</v>
      </c>
      <c r="K44" s="9">
        <f t="shared" si="12"/>
        <v>16.67590753832711</v>
      </c>
      <c r="L44" s="9" t="e">
        <f t="shared" si="12"/>
        <v>#DIV/0!</v>
      </c>
      <c r="M44" s="9" t="e">
        <f t="shared" si="12"/>
        <v>#DIV/0!</v>
      </c>
      <c r="N44" s="9" t="e">
        <f t="shared" si="12"/>
        <v>#DIV/0!</v>
      </c>
    </row>
    <row r="45" spans="1:14" ht="9" customHeight="1"/>
    <row r="46" spans="1:14">
      <c r="B46" s="10">
        <f>N32+7</f>
        <v>42288</v>
      </c>
      <c r="C46" s="10">
        <f t="shared" ref="C46:N46" si="13">B46+7</f>
        <v>42295</v>
      </c>
      <c r="D46" s="10">
        <f t="shared" si="13"/>
        <v>42302</v>
      </c>
      <c r="E46" s="10">
        <f t="shared" si="13"/>
        <v>42309</v>
      </c>
      <c r="F46" s="10">
        <f t="shared" si="13"/>
        <v>42316</v>
      </c>
      <c r="G46" s="10">
        <f t="shared" si="13"/>
        <v>42323</v>
      </c>
      <c r="H46" s="10">
        <f t="shared" si="13"/>
        <v>42330</v>
      </c>
      <c r="I46" s="10">
        <f t="shared" si="13"/>
        <v>42337</v>
      </c>
      <c r="J46" s="10">
        <f t="shared" si="13"/>
        <v>42344</v>
      </c>
      <c r="K46" s="10">
        <f t="shared" si="13"/>
        <v>42351</v>
      </c>
      <c r="L46" s="10">
        <f t="shared" si="13"/>
        <v>42358</v>
      </c>
      <c r="M46" s="10">
        <f t="shared" si="13"/>
        <v>42365</v>
      </c>
      <c r="N46" s="10">
        <f t="shared" si="13"/>
        <v>42372</v>
      </c>
    </row>
    <row r="47" spans="1:14" ht="7.5" customHeight="1"/>
    <row r="48" spans="1:14">
      <c r="A48" t="s">
        <v>13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t="s">
        <v>14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t="s">
        <v>15</v>
      </c>
      <c r="B50" s="5">
        <f t="shared" ref="B50:N50" si="14">SUM(B48:B49)</f>
        <v>0</v>
      </c>
      <c r="C50" s="5">
        <f t="shared" si="14"/>
        <v>0</v>
      </c>
      <c r="D50" s="5">
        <f t="shared" si="14"/>
        <v>0</v>
      </c>
      <c r="E50" s="5">
        <f t="shared" si="14"/>
        <v>0</v>
      </c>
      <c r="F50" s="5">
        <f t="shared" si="14"/>
        <v>0</v>
      </c>
      <c r="G50" s="5">
        <f t="shared" si="14"/>
        <v>0</v>
      </c>
      <c r="H50" s="5">
        <f t="shared" si="14"/>
        <v>0</v>
      </c>
      <c r="I50" s="5">
        <f t="shared" si="14"/>
        <v>0</v>
      </c>
      <c r="J50" s="5">
        <f t="shared" si="14"/>
        <v>0</v>
      </c>
      <c r="K50" s="5">
        <f t="shared" si="14"/>
        <v>0</v>
      </c>
      <c r="L50" s="5">
        <f t="shared" si="14"/>
        <v>0</v>
      </c>
      <c r="M50" s="5">
        <f t="shared" si="14"/>
        <v>0</v>
      </c>
      <c r="N50" s="5">
        <f t="shared" si="14"/>
        <v>0</v>
      </c>
    </row>
    <row r="51" spans="1:14" ht="6.75" customHeight="1"/>
    <row r="52" spans="1:14">
      <c r="A52" t="s">
        <v>16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A53" t="s">
        <v>17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>
      <c r="A54" t="s">
        <v>18</v>
      </c>
      <c r="B54" s="7">
        <f t="shared" ref="B54:N54" si="15">SUM(B52:B53)</f>
        <v>0</v>
      </c>
      <c r="C54" s="7">
        <f t="shared" si="15"/>
        <v>0</v>
      </c>
      <c r="D54" s="7">
        <f t="shared" si="15"/>
        <v>0</v>
      </c>
      <c r="E54" s="7">
        <f t="shared" si="15"/>
        <v>0</v>
      </c>
      <c r="F54" s="7">
        <f t="shared" si="15"/>
        <v>0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5"/>
        <v>0</v>
      </c>
      <c r="K54" s="7">
        <f t="shared" si="15"/>
        <v>0</v>
      </c>
      <c r="L54" s="7">
        <f t="shared" si="15"/>
        <v>0</v>
      </c>
      <c r="M54" s="7">
        <f t="shared" si="15"/>
        <v>0</v>
      </c>
      <c r="N54" s="7">
        <f t="shared" si="15"/>
        <v>0</v>
      </c>
    </row>
    <row r="55" spans="1:14" ht="8.25" customHeight="1"/>
    <row r="56" spans="1:14">
      <c r="A56" t="s">
        <v>19</v>
      </c>
      <c r="B56" s="8" t="e">
        <f t="shared" ref="B56:N58" si="16">B52/B48</f>
        <v>#DIV/0!</v>
      </c>
      <c r="C56" s="8" t="e">
        <f t="shared" si="16"/>
        <v>#DIV/0!</v>
      </c>
      <c r="D56" s="8" t="e">
        <f t="shared" si="16"/>
        <v>#DIV/0!</v>
      </c>
      <c r="E56" s="8" t="e">
        <f t="shared" si="16"/>
        <v>#DIV/0!</v>
      </c>
      <c r="F56" s="8" t="e">
        <f t="shared" si="16"/>
        <v>#DIV/0!</v>
      </c>
      <c r="G56" s="8" t="e">
        <f t="shared" si="16"/>
        <v>#DIV/0!</v>
      </c>
      <c r="H56" s="8" t="e">
        <f t="shared" si="16"/>
        <v>#DIV/0!</v>
      </c>
      <c r="I56" s="8" t="e">
        <f t="shared" si="16"/>
        <v>#DIV/0!</v>
      </c>
      <c r="J56" s="8" t="e">
        <f t="shared" si="16"/>
        <v>#DIV/0!</v>
      </c>
      <c r="K56" s="8" t="e">
        <f t="shared" si="16"/>
        <v>#DIV/0!</v>
      </c>
      <c r="L56" s="8" t="e">
        <f t="shared" si="16"/>
        <v>#DIV/0!</v>
      </c>
      <c r="M56" s="8" t="e">
        <f t="shared" si="16"/>
        <v>#DIV/0!</v>
      </c>
      <c r="N56" s="8" t="e">
        <f t="shared" si="16"/>
        <v>#DIV/0!</v>
      </c>
    </row>
    <row r="57" spans="1:14">
      <c r="A57" t="s">
        <v>20</v>
      </c>
      <c r="B57" s="8" t="e">
        <f t="shared" si="16"/>
        <v>#DIV/0!</v>
      </c>
      <c r="C57" s="8" t="e">
        <f t="shared" si="16"/>
        <v>#DIV/0!</v>
      </c>
      <c r="D57" s="8" t="e">
        <f t="shared" si="16"/>
        <v>#DIV/0!</v>
      </c>
      <c r="E57" s="8" t="e">
        <f t="shared" si="16"/>
        <v>#DIV/0!</v>
      </c>
      <c r="F57" s="8" t="e">
        <f t="shared" si="16"/>
        <v>#DIV/0!</v>
      </c>
      <c r="G57" s="8" t="e">
        <f t="shared" si="16"/>
        <v>#DIV/0!</v>
      </c>
      <c r="H57" s="8" t="e">
        <f t="shared" si="16"/>
        <v>#DIV/0!</v>
      </c>
      <c r="I57" s="8" t="e">
        <f t="shared" si="16"/>
        <v>#DIV/0!</v>
      </c>
      <c r="J57" s="8" t="e">
        <f t="shared" si="16"/>
        <v>#DIV/0!</v>
      </c>
      <c r="K57" s="8" t="e">
        <f t="shared" si="16"/>
        <v>#DIV/0!</v>
      </c>
      <c r="L57" s="8" t="e">
        <f t="shared" si="16"/>
        <v>#DIV/0!</v>
      </c>
      <c r="M57" s="8" t="e">
        <f t="shared" si="16"/>
        <v>#DIV/0!</v>
      </c>
      <c r="N57" s="8" t="e">
        <f t="shared" si="16"/>
        <v>#DIV/0!</v>
      </c>
    </row>
    <row r="58" spans="1:14">
      <c r="A58" t="s">
        <v>21</v>
      </c>
      <c r="B58" s="9" t="e">
        <f t="shared" si="16"/>
        <v>#DIV/0!</v>
      </c>
      <c r="C58" s="9" t="e">
        <f t="shared" si="16"/>
        <v>#DIV/0!</v>
      </c>
      <c r="D58" s="9" t="e">
        <f t="shared" si="16"/>
        <v>#DIV/0!</v>
      </c>
      <c r="E58" s="9" t="e">
        <f t="shared" si="16"/>
        <v>#DIV/0!</v>
      </c>
      <c r="F58" s="9" t="e">
        <f t="shared" si="16"/>
        <v>#DIV/0!</v>
      </c>
      <c r="G58" s="9" t="e">
        <f t="shared" si="16"/>
        <v>#DIV/0!</v>
      </c>
      <c r="H58" s="9" t="e">
        <f t="shared" si="16"/>
        <v>#DIV/0!</v>
      </c>
      <c r="I58" s="9" t="e">
        <f t="shared" si="16"/>
        <v>#DIV/0!</v>
      </c>
      <c r="J58" s="9" t="e">
        <f t="shared" si="16"/>
        <v>#DIV/0!</v>
      </c>
      <c r="K58" s="9" t="e">
        <f t="shared" si="16"/>
        <v>#DIV/0!</v>
      </c>
      <c r="L58" s="9" t="e">
        <f t="shared" si="16"/>
        <v>#DIV/0!</v>
      </c>
      <c r="M58" s="9" t="e">
        <f t="shared" si="16"/>
        <v>#DIV/0!</v>
      </c>
      <c r="N58" s="9" t="e">
        <f t="shared" si="16"/>
        <v>#DIV/0!</v>
      </c>
    </row>
  </sheetData>
  <pageMargins left="0.2" right="0.2" top="0.25" bottom="0.25" header="0.3" footer="0.3"/>
  <pageSetup scale="7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opLeftCell="A100" workbookViewId="0">
      <selection activeCell="G10" sqref="G10"/>
    </sheetView>
  </sheetViews>
  <sheetFormatPr defaultRowHeight="15"/>
  <cols>
    <col min="1" max="1" width="8.5703125" bestFit="1" customWidth="1"/>
    <col min="2" max="2" width="27.7109375" bestFit="1" customWidth="1"/>
    <col min="3" max="3" width="3.140625" bestFit="1" customWidth="1"/>
    <col min="4" max="4" width="10" bestFit="1" customWidth="1"/>
    <col min="5" max="13" width="11" bestFit="1" customWidth="1"/>
    <col min="14" max="15" width="13.42578125" bestFit="1" customWidth="1"/>
    <col min="16" max="16" width="11" bestFit="1" customWidth="1"/>
  </cols>
  <sheetData>
    <row r="1" spans="1:16">
      <c r="A1" s="22" t="s">
        <v>48</v>
      </c>
      <c r="B1" t="s">
        <v>49</v>
      </c>
      <c r="N1" t="s">
        <v>50</v>
      </c>
      <c r="O1" t="s">
        <v>81</v>
      </c>
      <c r="P1" t="s">
        <v>51</v>
      </c>
    </row>
    <row r="2" spans="1:16">
      <c r="A2" s="22" t="s">
        <v>52</v>
      </c>
      <c r="B2" t="s">
        <v>53</v>
      </c>
      <c r="C2" t="s">
        <v>54</v>
      </c>
      <c r="N2" t="s">
        <v>55</v>
      </c>
      <c r="O2" t="s">
        <v>82</v>
      </c>
      <c r="P2">
        <v>0</v>
      </c>
    </row>
    <row r="3" spans="1:16">
      <c r="A3" s="22" t="s">
        <v>83</v>
      </c>
      <c r="B3" t="s">
        <v>84</v>
      </c>
      <c r="N3" t="s">
        <v>85</v>
      </c>
      <c r="O3" t="s">
        <v>86</v>
      </c>
      <c r="P3" t="s">
        <v>229</v>
      </c>
    </row>
    <row r="4" spans="1:16">
      <c r="A4" s="22" t="s">
        <v>56</v>
      </c>
      <c r="B4" t="s">
        <v>57</v>
      </c>
      <c r="N4" t="s">
        <v>87</v>
      </c>
    </row>
    <row r="5" spans="1:16">
      <c r="A5" s="21"/>
    </row>
    <row r="6" spans="1:16">
      <c r="A6" s="22" t="s">
        <v>58</v>
      </c>
      <c r="B6" t="s">
        <v>59</v>
      </c>
      <c r="D6" t="s">
        <v>56</v>
      </c>
      <c r="E6" t="s">
        <v>60</v>
      </c>
      <c r="F6" t="s">
        <v>61</v>
      </c>
      <c r="G6" t="s">
        <v>62</v>
      </c>
      <c r="H6" t="s">
        <v>63</v>
      </c>
      <c r="I6" t="s">
        <v>64</v>
      </c>
      <c r="J6" t="s">
        <v>65</v>
      </c>
      <c r="K6" t="s">
        <v>66</v>
      </c>
      <c r="L6" t="s">
        <v>67</v>
      </c>
      <c r="M6" t="s">
        <v>79</v>
      </c>
      <c r="N6" t="s">
        <v>80</v>
      </c>
      <c r="O6" t="s">
        <v>68</v>
      </c>
      <c r="P6" t="s">
        <v>56</v>
      </c>
    </row>
    <row r="7" spans="1:16">
      <c r="A7" s="22" t="s">
        <v>69</v>
      </c>
      <c r="B7" t="s">
        <v>70</v>
      </c>
      <c r="C7" t="s">
        <v>98</v>
      </c>
      <c r="D7" t="s">
        <v>72</v>
      </c>
      <c r="E7" t="s">
        <v>71</v>
      </c>
      <c r="F7" t="s">
        <v>71</v>
      </c>
      <c r="G7" t="s">
        <v>71</v>
      </c>
      <c r="H7" t="s">
        <v>71</v>
      </c>
      <c r="I7" t="s">
        <v>71</v>
      </c>
      <c r="J7" t="s">
        <v>71</v>
      </c>
      <c r="K7" t="s">
        <v>71</v>
      </c>
      <c r="L7" t="s">
        <v>71</v>
      </c>
      <c r="M7" t="s">
        <v>71</v>
      </c>
      <c r="N7" t="s">
        <v>71</v>
      </c>
      <c r="O7" t="s">
        <v>71</v>
      </c>
      <c r="P7" t="s">
        <v>71</v>
      </c>
    </row>
    <row r="8" spans="1:16">
      <c r="A8" s="21"/>
    </row>
    <row r="9" spans="1:16">
      <c r="A9" s="22">
        <v>90015</v>
      </c>
      <c r="B9" t="s">
        <v>73</v>
      </c>
      <c r="D9">
        <v>23.25</v>
      </c>
      <c r="E9">
        <v>23</v>
      </c>
      <c r="F9">
        <v>22.25</v>
      </c>
      <c r="G9">
        <v>24</v>
      </c>
      <c r="H9">
        <v>23</v>
      </c>
      <c r="I9">
        <v>22.25</v>
      </c>
      <c r="J9">
        <v>23</v>
      </c>
      <c r="K9">
        <v>23</v>
      </c>
      <c r="L9">
        <v>21</v>
      </c>
      <c r="M9">
        <v>23.25</v>
      </c>
      <c r="N9">
        <v>24</v>
      </c>
      <c r="O9">
        <v>21.25</v>
      </c>
      <c r="P9">
        <v>24</v>
      </c>
    </row>
    <row r="10" spans="1:16">
      <c r="A10" s="21"/>
    </row>
    <row r="11" spans="1:16">
      <c r="A11" s="22"/>
      <c r="B11" t="s">
        <v>89</v>
      </c>
    </row>
    <row r="12" spans="1:16">
      <c r="A12" s="22">
        <v>306400</v>
      </c>
      <c r="B12" t="s">
        <v>90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s="22">
        <v>64200</v>
      </c>
      <c r="B13" t="s">
        <v>91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s="22"/>
      <c r="B14" t="s">
        <v>92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22"/>
      <c r="B15" t="s">
        <v>93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21"/>
    </row>
    <row r="17" spans="1:16">
      <c r="A17" s="22">
        <v>316400</v>
      </c>
      <c r="B17" t="s">
        <v>94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22">
        <v>64201</v>
      </c>
      <c r="B18" t="s">
        <v>95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s="22"/>
      <c r="B19" t="s">
        <v>96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22"/>
      <c r="B20" t="s">
        <v>97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s="22"/>
      <c r="C21" t="s">
        <v>98</v>
      </c>
      <c r="D21" t="s">
        <v>88</v>
      </c>
      <c r="E21" t="s">
        <v>72</v>
      </c>
      <c r="F21" t="s">
        <v>72</v>
      </c>
      <c r="G21" t="s">
        <v>72</v>
      </c>
      <c r="H21" t="s">
        <v>72</v>
      </c>
      <c r="I21" t="s">
        <v>72</v>
      </c>
      <c r="J21" t="s">
        <v>72</v>
      </c>
      <c r="K21" t="s">
        <v>72</v>
      </c>
      <c r="L21" t="s">
        <v>72</v>
      </c>
      <c r="M21" t="s">
        <v>72</v>
      </c>
      <c r="N21" t="s">
        <v>72</v>
      </c>
      <c r="O21" t="s">
        <v>72</v>
      </c>
      <c r="P21" t="s">
        <v>72</v>
      </c>
    </row>
    <row r="22" spans="1:16">
      <c r="A22" s="22"/>
      <c r="B22" t="s">
        <v>8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s="22"/>
      <c r="B23" t="s">
        <v>99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s="22"/>
      <c r="C24" t="s">
        <v>100</v>
      </c>
      <c r="D24" t="s">
        <v>101</v>
      </c>
      <c r="E24" t="s">
        <v>78</v>
      </c>
      <c r="F24" t="s">
        <v>78</v>
      </c>
      <c r="G24" t="s">
        <v>78</v>
      </c>
      <c r="H24" t="s">
        <v>78</v>
      </c>
      <c r="I24" t="s">
        <v>78</v>
      </c>
      <c r="J24" t="s">
        <v>78</v>
      </c>
      <c r="K24" t="s">
        <v>78</v>
      </c>
      <c r="L24" t="s">
        <v>78</v>
      </c>
      <c r="M24" t="s">
        <v>78</v>
      </c>
      <c r="N24" t="s">
        <v>78</v>
      </c>
      <c r="O24" t="s">
        <v>78</v>
      </c>
      <c r="P24" t="s">
        <v>78</v>
      </c>
    </row>
    <row r="25" spans="1:16">
      <c r="A25" s="21"/>
    </row>
    <row r="26" spans="1:16">
      <c r="A26" s="22"/>
      <c r="B26" t="s">
        <v>102</v>
      </c>
    </row>
    <row r="27" spans="1:16">
      <c r="A27" s="22">
        <v>306420</v>
      </c>
      <c r="B27" t="s">
        <v>103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>
      <c r="A28" s="22"/>
      <c r="B28" t="s">
        <v>104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>
      <c r="A29" s="22">
        <v>64338</v>
      </c>
      <c r="B29" t="s">
        <v>105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>
      <c r="A30" s="22"/>
      <c r="B30" t="s">
        <v>106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>
      <c r="A31" s="22"/>
      <c r="B31" t="s">
        <v>107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>
      <c r="A32" s="21"/>
    </row>
    <row r="33" spans="1:16">
      <c r="A33" s="22">
        <v>316420</v>
      </c>
      <c r="B33" t="s">
        <v>108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>
      <c r="A34" s="22">
        <v>412000</v>
      </c>
      <c r="B34" t="s">
        <v>109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</row>
    <row r="35" spans="1:16">
      <c r="A35" s="22">
        <v>64339</v>
      </c>
      <c r="B35" t="s">
        <v>110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>
      <c r="A36" s="22"/>
      <c r="B36" t="s">
        <v>111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>
      <c r="A37" s="22"/>
      <c r="B37" t="s">
        <v>112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</row>
    <row r="38" spans="1:16">
      <c r="A38" s="22"/>
      <c r="C38" t="s">
        <v>98</v>
      </c>
      <c r="D38" t="s">
        <v>88</v>
      </c>
      <c r="E38" t="s">
        <v>72</v>
      </c>
      <c r="F38" t="s">
        <v>72</v>
      </c>
      <c r="G38" t="s">
        <v>72</v>
      </c>
      <c r="H38" t="s">
        <v>72</v>
      </c>
      <c r="I38" t="s">
        <v>72</v>
      </c>
      <c r="J38" t="s">
        <v>72</v>
      </c>
      <c r="K38" t="s">
        <v>72</v>
      </c>
      <c r="L38" t="s">
        <v>72</v>
      </c>
      <c r="M38" t="s">
        <v>72</v>
      </c>
      <c r="N38" t="s">
        <v>72</v>
      </c>
      <c r="O38" t="s">
        <v>72</v>
      </c>
      <c r="P38" t="s">
        <v>72</v>
      </c>
    </row>
    <row r="39" spans="1:16">
      <c r="A39" s="22"/>
      <c r="B39" t="s">
        <v>8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</row>
    <row r="40" spans="1:16">
      <c r="A40" s="22"/>
      <c r="B40" t="s">
        <v>99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>
      <c r="A41" s="22"/>
      <c r="C41" t="s">
        <v>100</v>
      </c>
      <c r="D41" t="s">
        <v>101</v>
      </c>
      <c r="E41" t="s">
        <v>78</v>
      </c>
      <c r="F41" t="s">
        <v>78</v>
      </c>
      <c r="G41" t="s">
        <v>78</v>
      </c>
      <c r="H41" t="s">
        <v>78</v>
      </c>
      <c r="I41" t="s">
        <v>78</v>
      </c>
      <c r="J41" t="s">
        <v>78</v>
      </c>
      <c r="K41" t="s">
        <v>78</v>
      </c>
      <c r="L41" t="s">
        <v>78</v>
      </c>
      <c r="M41" t="s">
        <v>78</v>
      </c>
      <c r="N41" t="s">
        <v>78</v>
      </c>
      <c r="O41" t="s">
        <v>78</v>
      </c>
      <c r="P41" t="s">
        <v>78</v>
      </c>
    </row>
    <row r="42" spans="1:16">
      <c r="A42" s="21"/>
    </row>
    <row r="43" spans="1:16">
      <c r="A43" s="22"/>
      <c r="B43" t="s">
        <v>113</v>
      </c>
    </row>
    <row r="44" spans="1:16">
      <c r="A44" s="22">
        <v>306430</v>
      </c>
      <c r="B44" t="s">
        <v>114</v>
      </c>
      <c r="D44" s="23">
        <v>216844</v>
      </c>
      <c r="E44" s="23">
        <v>221643</v>
      </c>
      <c r="F44" s="23">
        <v>207527</v>
      </c>
      <c r="G44" s="23">
        <v>224410</v>
      </c>
      <c r="H44" s="23">
        <v>219817</v>
      </c>
      <c r="I44" s="23">
        <v>201663</v>
      </c>
      <c r="J44" s="23">
        <v>207852</v>
      </c>
      <c r="K44" s="23">
        <v>200563</v>
      </c>
      <c r="L44" s="23">
        <v>184299</v>
      </c>
      <c r="M44" s="23">
        <v>217034</v>
      </c>
      <c r="N44" s="23">
        <v>231446</v>
      </c>
      <c r="O44" s="23">
        <v>192260</v>
      </c>
      <c r="P44" s="23">
        <v>213291</v>
      </c>
    </row>
    <row r="45" spans="1:16">
      <c r="A45" s="22">
        <v>402030</v>
      </c>
      <c r="B45" t="s">
        <v>115</v>
      </c>
      <c r="D45" s="23">
        <v>43119</v>
      </c>
      <c r="E45" s="23">
        <v>50158</v>
      </c>
      <c r="F45" s="23">
        <v>30962</v>
      </c>
      <c r="G45" s="23">
        <v>60517</v>
      </c>
      <c r="H45" s="23">
        <v>34963</v>
      </c>
      <c r="I45" s="23">
        <v>-6999</v>
      </c>
      <c r="J45" s="23">
        <v>3463</v>
      </c>
      <c r="K45" s="23">
        <v>6159</v>
      </c>
      <c r="L45" s="23">
        <v>27463</v>
      </c>
      <c r="M45" s="23">
        <v>87186</v>
      </c>
      <c r="N45" s="23">
        <v>127729</v>
      </c>
      <c r="O45" s="23">
        <v>96735</v>
      </c>
      <c r="P45" s="23">
        <v>124757</v>
      </c>
    </row>
    <row r="46" spans="1:16">
      <c r="A46" s="22">
        <v>64230</v>
      </c>
      <c r="B46" t="s">
        <v>116</v>
      </c>
      <c r="D46" s="23">
        <v>7533</v>
      </c>
      <c r="E46" s="23">
        <v>7770</v>
      </c>
      <c r="F46" s="23">
        <v>7161</v>
      </c>
      <c r="G46" s="23">
        <v>7794</v>
      </c>
      <c r="H46" s="23">
        <v>7641</v>
      </c>
      <c r="I46" s="23">
        <v>7041</v>
      </c>
      <c r="J46" s="23">
        <v>7206</v>
      </c>
      <c r="K46" s="23">
        <v>7332</v>
      </c>
      <c r="L46" s="23">
        <v>6454</v>
      </c>
      <c r="M46" s="23">
        <v>7634</v>
      </c>
      <c r="N46" s="23">
        <v>8219</v>
      </c>
      <c r="O46" s="23">
        <v>6761</v>
      </c>
      <c r="P46" s="23">
        <v>7959</v>
      </c>
    </row>
    <row r="47" spans="1:16">
      <c r="A47" s="22"/>
      <c r="B47" t="s">
        <v>117</v>
      </c>
      <c r="D47">
        <v>23.06</v>
      </c>
      <c r="E47">
        <v>22.07</v>
      </c>
      <c r="F47">
        <v>24.66</v>
      </c>
      <c r="G47">
        <v>21.03</v>
      </c>
      <c r="H47">
        <v>24.19</v>
      </c>
      <c r="I47">
        <v>29.64</v>
      </c>
      <c r="J47">
        <v>28.36</v>
      </c>
      <c r="K47">
        <v>26.51</v>
      </c>
      <c r="L47">
        <v>24.3</v>
      </c>
      <c r="M47">
        <v>17.010000000000002</v>
      </c>
      <c r="N47">
        <v>12.62</v>
      </c>
      <c r="O47">
        <v>14.13</v>
      </c>
      <c r="P47">
        <v>11.12</v>
      </c>
    </row>
    <row r="48" spans="1:16">
      <c r="A48" s="22"/>
      <c r="B48" t="s">
        <v>118</v>
      </c>
      <c r="D48">
        <v>324</v>
      </c>
      <c r="E48">
        <v>338</v>
      </c>
      <c r="F48">
        <v>322</v>
      </c>
      <c r="G48">
        <v>325</v>
      </c>
      <c r="H48">
        <v>332</v>
      </c>
      <c r="I48">
        <v>316</v>
      </c>
      <c r="J48">
        <v>313</v>
      </c>
      <c r="K48">
        <v>319</v>
      </c>
      <c r="L48">
        <v>307</v>
      </c>
      <c r="M48">
        <v>328</v>
      </c>
      <c r="N48">
        <v>342</v>
      </c>
      <c r="O48">
        <v>318</v>
      </c>
      <c r="P48">
        <v>332</v>
      </c>
    </row>
    <row r="49" spans="1:16">
      <c r="A49" s="21"/>
    </row>
    <row r="50" spans="1:16">
      <c r="A50" s="22">
        <v>316430</v>
      </c>
      <c r="B50" t="s">
        <v>119</v>
      </c>
      <c r="D50" s="23">
        <v>329125</v>
      </c>
      <c r="E50" s="23">
        <v>349228</v>
      </c>
      <c r="F50" s="23">
        <v>326777</v>
      </c>
      <c r="G50" s="23">
        <v>366991</v>
      </c>
      <c r="H50" s="23">
        <v>351088</v>
      </c>
      <c r="I50" s="23">
        <v>328372</v>
      </c>
      <c r="J50" s="23">
        <v>329749</v>
      </c>
      <c r="K50" s="23">
        <v>324556</v>
      </c>
      <c r="L50" s="23">
        <v>295675</v>
      </c>
      <c r="M50" s="23">
        <v>390999</v>
      </c>
      <c r="N50" s="23">
        <v>402410</v>
      </c>
      <c r="O50" s="23">
        <v>313013</v>
      </c>
      <c r="P50" s="23">
        <v>349670</v>
      </c>
    </row>
    <row r="51" spans="1:16">
      <c r="A51" s="22">
        <v>412030</v>
      </c>
      <c r="B51" t="s">
        <v>120</v>
      </c>
      <c r="D51" s="23">
        <v>250128</v>
      </c>
      <c r="E51" s="23">
        <v>262884</v>
      </c>
      <c r="F51" s="23">
        <v>244206</v>
      </c>
      <c r="G51" s="23">
        <v>287065</v>
      </c>
      <c r="H51" s="23">
        <v>284004</v>
      </c>
      <c r="I51" s="23">
        <v>250286</v>
      </c>
      <c r="J51" s="23">
        <v>238150</v>
      </c>
      <c r="K51" s="23">
        <v>229742</v>
      </c>
      <c r="L51" s="23">
        <v>200155</v>
      </c>
      <c r="M51" s="23">
        <v>292331</v>
      </c>
      <c r="N51" s="23">
        <v>320533</v>
      </c>
      <c r="O51" s="23">
        <v>270163</v>
      </c>
      <c r="P51" s="23">
        <v>324445</v>
      </c>
    </row>
    <row r="52" spans="1:16">
      <c r="A52" s="22">
        <v>64330</v>
      </c>
      <c r="B52" t="s">
        <v>121</v>
      </c>
      <c r="D52" s="23">
        <v>4903</v>
      </c>
      <c r="E52" s="23">
        <v>5159</v>
      </c>
      <c r="F52" s="23">
        <v>4821</v>
      </c>
      <c r="G52" s="23">
        <v>5388</v>
      </c>
      <c r="H52" s="23">
        <v>5205</v>
      </c>
      <c r="I52" s="23">
        <v>4823</v>
      </c>
      <c r="J52" s="23">
        <v>4902</v>
      </c>
      <c r="K52" s="23">
        <v>4775</v>
      </c>
      <c r="L52" s="23">
        <v>4381</v>
      </c>
      <c r="M52" s="23">
        <v>5717</v>
      </c>
      <c r="N52" s="23">
        <v>5884</v>
      </c>
      <c r="O52" s="23">
        <v>4577</v>
      </c>
      <c r="P52" s="23">
        <v>5193</v>
      </c>
    </row>
    <row r="53" spans="1:16">
      <c r="A53" s="22"/>
      <c r="B53" t="s">
        <v>122</v>
      </c>
      <c r="D53">
        <v>16.11</v>
      </c>
      <c r="E53">
        <v>16.739999999999998</v>
      </c>
      <c r="F53">
        <v>17.13</v>
      </c>
      <c r="G53">
        <v>14.83</v>
      </c>
      <c r="H53">
        <v>12.89</v>
      </c>
      <c r="I53">
        <v>16.190000000000001</v>
      </c>
      <c r="J53">
        <v>18.690000000000001</v>
      </c>
      <c r="K53">
        <v>19.86</v>
      </c>
      <c r="L53">
        <v>21.8</v>
      </c>
      <c r="M53">
        <v>17.260000000000002</v>
      </c>
      <c r="N53">
        <v>13.92</v>
      </c>
      <c r="O53">
        <v>9.36</v>
      </c>
      <c r="P53">
        <v>4.8600000000000003</v>
      </c>
    </row>
    <row r="54" spans="1:16">
      <c r="A54" s="22"/>
      <c r="B54" t="s">
        <v>123</v>
      </c>
      <c r="D54">
        <v>211</v>
      </c>
      <c r="E54">
        <v>224</v>
      </c>
      <c r="F54">
        <v>217</v>
      </c>
      <c r="G54">
        <v>225</v>
      </c>
      <c r="H54">
        <v>226</v>
      </c>
      <c r="I54">
        <v>217</v>
      </c>
      <c r="J54">
        <v>213</v>
      </c>
      <c r="K54">
        <v>208</v>
      </c>
      <c r="L54">
        <v>209</v>
      </c>
      <c r="M54">
        <v>246</v>
      </c>
      <c r="N54">
        <v>245</v>
      </c>
      <c r="O54">
        <v>215</v>
      </c>
      <c r="P54">
        <v>216</v>
      </c>
    </row>
    <row r="55" spans="1:16">
      <c r="A55" s="22"/>
      <c r="C55" t="s">
        <v>98</v>
      </c>
      <c r="D55" t="s">
        <v>88</v>
      </c>
      <c r="E55" t="s">
        <v>72</v>
      </c>
      <c r="F55" t="s">
        <v>72</v>
      </c>
      <c r="G55" t="s">
        <v>72</v>
      </c>
      <c r="H55" t="s">
        <v>72</v>
      </c>
      <c r="I55" t="s">
        <v>72</v>
      </c>
      <c r="J55" t="s">
        <v>72</v>
      </c>
      <c r="K55" t="s">
        <v>72</v>
      </c>
      <c r="L55" t="s">
        <v>72</v>
      </c>
      <c r="M55" t="s">
        <v>72</v>
      </c>
      <c r="N55" t="s">
        <v>72</v>
      </c>
      <c r="O55" t="s">
        <v>72</v>
      </c>
      <c r="P55" t="s">
        <v>72</v>
      </c>
    </row>
    <row r="56" spans="1:16">
      <c r="A56" s="22"/>
      <c r="B56" t="s">
        <v>8</v>
      </c>
      <c r="D56" s="23">
        <v>12436</v>
      </c>
      <c r="E56" s="23">
        <v>12929</v>
      </c>
      <c r="F56" s="23">
        <v>11981</v>
      </c>
      <c r="G56" s="23">
        <v>13181</v>
      </c>
      <c r="H56" s="23">
        <v>12846</v>
      </c>
      <c r="I56" s="23">
        <v>11864</v>
      </c>
      <c r="J56" s="23">
        <v>12107</v>
      </c>
      <c r="K56" s="23">
        <v>12107</v>
      </c>
      <c r="L56" s="23">
        <v>10835</v>
      </c>
      <c r="M56" s="23">
        <v>13351</v>
      </c>
      <c r="N56" s="23">
        <v>14103</v>
      </c>
      <c r="O56" s="23">
        <v>11338</v>
      </c>
      <c r="P56" s="23">
        <v>13151</v>
      </c>
    </row>
    <row r="57" spans="1:16">
      <c r="A57" s="22"/>
      <c r="B57" t="s">
        <v>99</v>
      </c>
      <c r="D57">
        <v>535</v>
      </c>
      <c r="E57">
        <v>562</v>
      </c>
      <c r="F57">
        <v>538</v>
      </c>
      <c r="G57">
        <v>549</v>
      </c>
      <c r="H57">
        <v>559</v>
      </c>
      <c r="I57">
        <v>533</v>
      </c>
      <c r="J57">
        <v>526</v>
      </c>
      <c r="K57">
        <v>526</v>
      </c>
      <c r="L57">
        <v>516</v>
      </c>
      <c r="M57">
        <v>574</v>
      </c>
      <c r="N57">
        <v>588</v>
      </c>
      <c r="O57">
        <v>534</v>
      </c>
      <c r="P57">
        <v>548</v>
      </c>
    </row>
    <row r="58" spans="1:16">
      <c r="A58" s="22"/>
      <c r="C58" t="s">
        <v>100</v>
      </c>
      <c r="D58" t="s">
        <v>101</v>
      </c>
      <c r="E58" t="s">
        <v>78</v>
      </c>
      <c r="F58" t="s">
        <v>78</v>
      </c>
      <c r="G58" t="s">
        <v>78</v>
      </c>
      <c r="H58" t="s">
        <v>78</v>
      </c>
      <c r="I58" t="s">
        <v>78</v>
      </c>
      <c r="J58" t="s">
        <v>78</v>
      </c>
      <c r="K58" t="s">
        <v>78</v>
      </c>
      <c r="L58" t="s">
        <v>78</v>
      </c>
      <c r="M58" t="s">
        <v>78</v>
      </c>
      <c r="N58" t="s">
        <v>78</v>
      </c>
      <c r="O58" t="s">
        <v>78</v>
      </c>
      <c r="P58" t="s">
        <v>78</v>
      </c>
    </row>
    <row r="60" spans="1:16">
      <c r="A60" s="22" t="s">
        <v>74</v>
      </c>
      <c r="B60" t="s">
        <v>75</v>
      </c>
      <c r="N60" t="s">
        <v>76</v>
      </c>
      <c r="O60" t="s">
        <v>124</v>
      </c>
      <c r="P60" t="s">
        <v>230</v>
      </c>
    </row>
    <row r="61" spans="1:16">
      <c r="A61" s="22" t="s">
        <v>52</v>
      </c>
      <c r="B61" t="s">
        <v>53</v>
      </c>
      <c r="C61" t="s">
        <v>54</v>
      </c>
      <c r="N61" t="s">
        <v>55</v>
      </c>
      <c r="O61" t="s">
        <v>82</v>
      </c>
      <c r="P61">
        <v>0</v>
      </c>
    </row>
    <row r="62" spans="1:16">
      <c r="A62" s="22" t="s">
        <v>83</v>
      </c>
      <c r="B62" t="s">
        <v>84</v>
      </c>
      <c r="N62" t="s">
        <v>85</v>
      </c>
      <c r="O62" t="s">
        <v>86</v>
      </c>
      <c r="P62" t="s">
        <v>229</v>
      </c>
    </row>
    <row r="63" spans="1:16">
      <c r="A63" s="22" t="s">
        <v>56</v>
      </c>
      <c r="B63" t="s">
        <v>57</v>
      </c>
      <c r="N63" t="s">
        <v>87</v>
      </c>
    </row>
    <row r="64" spans="1:16">
      <c r="A64" s="21"/>
    </row>
    <row r="65" spans="1:16">
      <c r="A65" s="22" t="s">
        <v>58</v>
      </c>
      <c r="B65" t="s">
        <v>59</v>
      </c>
      <c r="D65" t="s">
        <v>56</v>
      </c>
      <c r="E65" t="s">
        <v>60</v>
      </c>
      <c r="F65" t="s">
        <v>61</v>
      </c>
      <c r="G65" t="s">
        <v>62</v>
      </c>
      <c r="H65" t="s">
        <v>63</v>
      </c>
      <c r="I65" t="s">
        <v>64</v>
      </c>
      <c r="J65" t="s">
        <v>65</v>
      </c>
      <c r="K65" t="s">
        <v>66</v>
      </c>
      <c r="L65" t="s">
        <v>67</v>
      </c>
      <c r="M65" t="s">
        <v>79</v>
      </c>
      <c r="N65" t="s">
        <v>80</v>
      </c>
      <c r="O65" t="s">
        <v>68</v>
      </c>
      <c r="P65" t="s">
        <v>56</v>
      </c>
    </row>
    <row r="66" spans="1:16">
      <c r="A66" s="22" t="s">
        <v>69</v>
      </c>
      <c r="B66" t="s">
        <v>70</v>
      </c>
      <c r="C66" t="s">
        <v>98</v>
      </c>
      <c r="D66" t="s">
        <v>72</v>
      </c>
      <c r="E66" t="s">
        <v>71</v>
      </c>
      <c r="F66" t="s">
        <v>71</v>
      </c>
      <c r="G66" t="s">
        <v>71</v>
      </c>
      <c r="H66" t="s">
        <v>71</v>
      </c>
      <c r="I66" t="s">
        <v>71</v>
      </c>
      <c r="J66" t="s">
        <v>71</v>
      </c>
      <c r="K66" t="s">
        <v>71</v>
      </c>
      <c r="L66" t="s">
        <v>71</v>
      </c>
      <c r="M66" t="s">
        <v>71</v>
      </c>
      <c r="N66" t="s">
        <v>71</v>
      </c>
      <c r="O66" t="s">
        <v>71</v>
      </c>
      <c r="P66" t="s">
        <v>71</v>
      </c>
    </row>
    <row r="67" spans="1:16">
      <c r="A67" s="21"/>
    </row>
    <row r="68" spans="1:16">
      <c r="A68" s="22"/>
      <c r="B68" t="s">
        <v>125</v>
      </c>
    </row>
    <row r="69" spans="1:16">
      <c r="A69" s="22">
        <v>306431</v>
      </c>
      <c r="B69" t="s">
        <v>126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</row>
    <row r="70" spans="1:16">
      <c r="A70" s="22">
        <v>402031</v>
      </c>
      <c r="B70" t="s">
        <v>127</v>
      </c>
      <c r="D70" s="23">
        <v>6292</v>
      </c>
      <c r="E70" s="23">
        <v>8717</v>
      </c>
      <c r="F70" s="23">
        <v>23780</v>
      </c>
      <c r="G70" s="23">
        <v>20403</v>
      </c>
      <c r="H70" s="23">
        <v>15448</v>
      </c>
      <c r="I70" s="23">
        <v>17573</v>
      </c>
      <c r="J70" s="23">
        <v>17785</v>
      </c>
      <c r="K70" s="23">
        <v>20840</v>
      </c>
      <c r="L70" s="23">
        <v>11892</v>
      </c>
      <c r="M70" s="23">
        <v>17386</v>
      </c>
      <c r="N70" s="23">
        <v>18305</v>
      </c>
      <c r="O70" s="23">
        <v>15792</v>
      </c>
      <c r="P70" s="23">
        <v>16437</v>
      </c>
    </row>
    <row r="71" spans="1:16">
      <c r="A71" s="22">
        <v>64231</v>
      </c>
      <c r="B71" t="s">
        <v>128</v>
      </c>
      <c r="D71">
        <v>342</v>
      </c>
      <c r="E71">
        <v>547</v>
      </c>
      <c r="F71">
        <v>819</v>
      </c>
      <c r="G71">
        <v>588</v>
      </c>
      <c r="H71">
        <v>546</v>
      </c>
      <c r="I71">
        <v>548</v>
      </c>
      <c r="J71">
        <v>570</v>
      </c>
      <c r="K71">
        <v>541</v>
      </c>
      <c r="L71">
        <v>427</v>
      </c>
      <c r="M71">
        <v>519</v>
      </c>
      <c r="N71">
        <v>517</v>
      </c>
      <c r="O71">
        <v>446</v>
      </c>
      <c r="P71">
        <v>454</v>
      </c>
    </row>
    <row r="72" spans="1:16">
      <c r="A72" s="22"/>
      <c r="B72" t="s">
        <v>129</v>
      </c>
      <c r="D72">
        <v>-18.399999999999999</v>
      </c>
      <c r="E72">
        <v>-15.94</v>
      </c>
      <c r="F72">
        <v>-29.04</v>
      </c>
      <c r="G72">
        <v>-34.700000000000003</v>
      </c>
      <c r="H72">
        <v>-28.29</v>
      </c>
      <c r="I72">
        <v>-32.07</v>
      </c>
      <c r="J72">
        <v>-31.2</v>
      </c>
      <c r="K72">
        <v>-38.520000000000003</v>
      </c>
      <c r="L72">
        <v>-27.85</v>
      </c>
      <c r="M72">
        <v>-33.5</v>
      </c>
      <c r="N72">
        <v>-35.409999999999997</v>
      </c>
      <c r="O72">
        <v>-35.409999999999997</v>
      </c>
      <c r="P72">
        <v>-36.21</v>
      </c>
    </row>
    <row r="73" spans="1:16">
      <c r="A73" s="22"/>
      <c r="B73" t="s">
        <v>130</v>
      </c>
      <c r="D73">
        <v>15</v>
      </c>
      <c r="E73">
        <v>24</v>
      </c>
      <c r="F73">
        <v>37</v>
      </c>
      <c r="G73">
        <v>25</v>
      </c>
      <c r="H73">
        <v>24</v>
      </c>
      <c r="I73">
        <v>25</v>
      </c>
      <c r="J73">
        <v>25</v>
      </c>
      <c r="K73">
        <v>24</v>
      </c>
      <c r="L73">
        <v>20</v>
      </c>
      <c r="M73">
        <v>22</v>
      </c>
      <c r="N73">
        <v>22</v>
      </c>
      <c r="O73">
        <v>21</v>
      </c>
      <c r="P73">
        <v>19</v>
      </c>
    </row>
    <row r="74" spans="1:16">
      <c r="A74" s="21"/>
    </row>
    <row r="75" spans="1:16">
      <c r="A75" s="22">
        <v>316431</v>
      </c>
      <c r="B75" t="s">
        <v>131</v>
      </c>
      <c r="D75" s="23">
        <v>189754</v>
      </c>
      <c r="E75" s="23">
        <v>191407</v>
      </c>
      <c r="F75" s="23">
        <v>175828</v>
      </c>
      <c r="G75" s="23">
        <v>181330</v>
      </c>
      <c r="H75" s="23">
        <v>192614</v>
      </c>
      <c r="I75" s="23">
        <v>172716</v>
      </c>
      <c r="J75" s="23">
        <v>179296</v>
      </c>
      <c r="K75" s="23">
        <v>186993</v>
      </c>
      <c r="L75" s="23">
        <v>163736</v>
      </c>
      <c r="M75" s="23">
        <v>177407</v>
      </c>
      <c r="N75" s="23">
        <v>186849</v>
      </c>
      <c r="O75" s="23">
        <v>168418</v>
      </c>
      <c r="P75" s="23">
        <v>194782</v>
      </c>
    </row>
    <row r="76" spans="1:16">
      <c r="A76" s="22">
        <v>412031</v>
      </c>
      <c r="B76" t="s">
        <v>132</v>
      </c>
      <c r="D76" s="23">
        <v>207487</v>
      </c>
      <c r="E76" s="23">
        <v>209322</v>
      </c>
      <c r="F76" s="23">
        <v>190058</v>
      </c>
      <c r="G76" s="23">
        <v>205018</v>
      </c>
      <c r="H76" s="23">
        <v>221702</v>
      </c>
      <c r="I76" s="23">
        <v>187188</v>
      </c>
      <c r="J76" s="23">
        <v>179648</v>
      </c>
      <c r="K76" s="23">
        <v>179927</v>
      </c>
      <c r="L76" s="23">
        <v>150873</v>
      </c>
      <c r="M76" s="23">
        <v>199254</v>
      </c>
      <c r="N76" s="23">
        <v>221873</v>
      </c>
      <c r="O76" s="23">
        <v>217574</v>
      </c>
      <c r="P76" s="23">
        <v>266375</v>
      </c>
    </row>
    <row r="77" spans="1:16">
      <c r="A77" s="22">
        <v>64331</v>
      </c>
      <c r="B77" t="s">
        <v>133</v>
      </c>
      <c r="D77" s="23">
        <v>3663</v>
      </c>
      <c r="E77" s="23">
        <v>3719</v>
      </c>
      <c r="F77" s="23">
        <v>3394</v>
      </c>
      <c r="G77" s="23">
        <v>3500</v>
      </c>
      <c r="H77" s="23">
        <v>3718</v>
      </c>
      <c r="I77" s="23">
        <v>3334</v>
      </c>
      <c r="J77" s="23">
        <v>3461</v>
      </c>
      <c r="K77" s="23">
        <v>3609</v>
      </c>
      <c r="L77" s="23">
        <v>3160</v>
      </c>
      <c r="M77" s="23">
        <v>3424</v>
      </c>
      <c r="N77" s="23">
        <v>3606</v>
      </c>
      <c r="O77" s="23">
        <v>3251</v>
      </c>
      <c r="P77" s="23">
        <v>3760</v>
      </c>
    </row>
    <row r="78" spans="1:16">
      <c r="A78" s="22"/>
      <c r="B78" t="s">
        <v>134</v>
      </c>
      <c r="D78">
        <v>-4.84</v>
      </c>
      <c r="E78">
        <v>-4.82</v>
      </c>
      <c r="F78">
        <v>-4.1900000000000004</v>
      </c>
      <c r="G78">
        <v>-6.77</v>
      </c>
      <c r="H78">
        <v>-7.82</v>
      </c>
      <c r="I78">
        <v>-4.34</v>
      </c>
      <c r="J78">
        <v>-0.1</v>
      </c>
      <c r="K78">
        <v>1.96</v>
      </c>
      <c r="L78">
        <v>4.07</v>
      </c>
      <c r="M78">
        <v>-6.38</v>
      </c>
      <c r="N78">
        <v>-9.7100000000000009</v>
      </c>
      <c r="O78">
        <v>-15.12</v>
      </c>
      <c r="P78">
        <v>-19.04</v>
      </c>
    </row>
    <row r="79" spans="1:16">
      <c r="A79" s="22"/>
      <c r="B79" t="s">
        <v>135</v>
      </c>
      <c r="D79">
        <v>158</v>
      </c>
      <c r="E79">
        <v>162</v>
      </c>
      <c r="F79">
        <v>153</v>
      </c>
      <c r="G79">
        <v>146</v>
      </c>
      <c r="H79">
        <v>162</v>
      </c>
      <c r="I79">
        <v>150</v>
      </c>
      <c r="J79">
        <v>150</v>
      </c>
      <c r="K79">
        <v>157</v>
      </c>
      <c r="L79">
        <v>150</v>
      </c>
      <c r="M79">
        <v>147</v>
      </c>
      <c r="N79">
        <v>150</v>
      </c>
      <c r="O79">
        <v>153</v>
      </c>
      <c r="P79">
        <v>157</v>
      </c>
    </row>
    <row r="80" spans="1:16">
      <c r="A80" s="22"/>
      <c r="C80" t="s">
        <v>98</v>
      </c>
      <c r="D80" t="s">
        <v>88</v>
      </c>
      <c r="E80" t="s">
        <v>72</v>
      </c>
      <c r="F80" t="s">
        <v>72</v>
      </c>
      <c r="G80" t="s">
        <v>72</v>
      </c>
      <c r="H80" t="s">
        <v>72</v>
      </c>
      <c r="I80" t="s">
        <v>72</v>
      </c>
      <c r="J80" t="s">
        <v>72</v>
      </c>
      <c r="K80" t="s">
        <v>72</v>
      </c>
      <c r="L80" t="s">
        <v>72</v>
      </c>
      <c r="M80" t="s">
        <v>72</v>
      </c>
      <c r="N80" t="s">
        <v>72</v>
      </c>
      <c r="O80" t="s">
        <v>72</v>
      </c>
      <c r="P80" t="s">
        <v>72</v>
      </c>
    </row>
    <row r="81" spans="1:16">
      <c r="A81" s="22"/>
      <c r="B81" t="s">
        <v>8</v>
      </c>
      <c r="D81" s="23">
        <v>4004</v>
      </c>
      <c r="E81" s="23">
        <v>4266</v>
      </c>
      <c r="F81" s="23">
        <v>4212</v>
      </c>
      <c r="G81" s="23">
        <v>4087</v>
      </c>
      <c r="H81" s="23">
        <v>4264</v>
      </c>
      <c r="I81" s="23">
        <v>3882</v>
      </c>
      <c r="J81" s="23">
        <v>4031</v>
      </c>
      <c r="K81" s="23">
        <v>4150</v>
      </c>
      <c r="L81" s="23">
        <v>3587</v>
      </c>
      <c r="M81" s="23">
        <v>3943</v>
      </c>
      <c r="N81" s="23">
        <v>4124</v>
      </c>
      <c r="O81" s="23">
        <v>3696</v>
      </c>
      <c r="P81" s="23">
        <v>4213</v>
      </c>
    </row>
    <row r="82" spans="1:16">
      <c r="A82" s="22"/>
      <c r="B82" t="s">
        <v>99</v>
      </c>
      <c r="D82">
        <v>172</v>
      </c>
      <c r="E82">
        <v>185</v>
      </c>
      <c r="F82">
        <v>189</v>
      </c>
      <c r="G82">
        <v>170</v>
      </c>
      <c r="H82">
        <v>185</v>
      </c>
      <c r="I82">
        <v>174</v>
      </c>
      <c r="J82">
        <v>175</v>
      </c>
      <c r="K82">
        <v>180</v>
      </c>
      <c r="L82">
        <v>171</v>
      </c>
      <c r="M82">
        <v>170</v>
      </c>
      <c r="N82">
        <v>172</v>
      </c>
      <c r="O82">
        <v>174</v>
      </c>
      <c r="P82">
        <v>176</v>
      </c>
    </row>
    <row r="83" spans="1:16">
      <c r="A83" s="22"/>
      <c r="C83" t="s">
        <v>100</v>
      </c>
      <c r="D83" t="s">
        <v>101</v>
      </c>
      <c r="E83" t="s">
        <v>78</v>
      </c>
      <c r="F83" t="s">
        <v>78</v>
      </c>
      <c r="G83" t="s">
        <v>78</v>
      </c>
      <c r="H83" t="s">
        <v>78</v>
      </c>
      <c r="I83" t="s">
        <v>78</v>
      </c>
      <c r="J83" t="s">
        <v>78</v>
      </c>
      <c r="K83" t="s">
        <v>78</v>
      </c>
      <c r="L83" t="s">
        <v>78</v>
      </c>
      <c r="M83" t="s">
        <v>78</v>
      </c>
      <c r="N83" t="s">
        <v>78</v>
      </c>
      <c r="O83" t="s">
        <v>78</v>
      </c>
      <c r="P83" t="s">
        <v>78</v>
      </c>
    </row>
    <row r="84" spans="1:16">
      <c r="A84" s="21"/>
    </row>
    <row r="85" spans="1:16">
      <c r="A85" s="22"/>
      <c r="B85" t="s">
        <v>136</v>
      </c>
    </row>
    <row r="86" spans="1:16">
      <c r="A86" s="22">
        <v>306432</v>
      </c>
      <c r="B86" t="s">
        <v>137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</row>
    <row r="87" spans="1:16">
      <c r="A87" s="22">
        <v>402032</v>
      </c>
      <c r="B87" t="s">
        <v>138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</row>
    <row r="88" spans="1:16">
      <c r="A88" s="22">
        <v>64232</v>
      </c>
      <c r="B88" t="s">
        <v>139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>
      <c r="A89" s="22"/>
      <c r="B89" t="s">
        <v>140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1:16">
      <c r="A90" s="22"/>
      <c r="B90" t="s">
        <v>141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1:16">
      <c r="A91" s="21"/>
    </row>
    <row r="92" spans="1:16">
      <c r="A92" s="22">
        <v>412032</v>
      </c>
      <c r="B92" t="s">
        <v>138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</row>
    <row r="93" spans="1:16">
      <c r="A93" s="22">
        <v>64332</v>
      </c>
      <c r="B93" t="s">
        <v>139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1:16">
      <c r="A94" s="22"/>
      <c r="B94" t="s">
        <v>142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</row>
    <row r="95" spans="1:16">
      <c r="A95" s="22"/>
      <c r="B95" t="s">
        <v>143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1:16">
      <c r="A96" s="22"/>
      <c r="C96" t="s">
        <v>98</v>
      </c>
      <c r="D96" t="s">
        <v>88</v>
      </c>
      <c r="E96" t="s">
        <v>72</v>
      </c>
      <c r="F96" t="s">
        <v>72</v>
      </c>
      <c r="G96" t="s">
        <v>72</v>
      </c>
      <c r="H96" t="s">
        <v>72</v>
      </c>
      <c r="I96" t="s">
        <v>72</v>
      </c>
      <c r="J96" t="s">
        <v>72</v>
      </c>
      <c r="K96" t="s">
        <v>72</v>
      </c>
      <c r="L96" t="s">
        <v>72</v>
      </c>
      <c r="M96" t="s">
        <v>72</v>
      </c>
      <c r="N96" t="s">
        <v>72</v>
      </c>
      <c r="O96" t="s">
        <v>72</v>
      </c>
      <c r="P96" t="s">
        <v>72</v>
      </c>
    </row>
    <row r="97" spans="1:16">
      <c r="A97" s="22"/>
      <c r="B97" t="s">
        <v>8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>
      <c r="A98" s="22"/>
      <c r="B98" t="s">
        <v>99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</row>
    <row r="99" spans="1:16">
      <c r="A99" s="22"/>
      <c r="C99" t="s">
        <v>100</v>
      </c>
      <c r="D99" t="s">
        <v>101</v>
      </c>
      <c r="E99" t="s">
        <v>78</v>
      </c>
      <c r="F99" t="s">
        <v>78</v>
      </c>
      <c r="G99" t="s">
        <v>78</v>
      </c>
      <c r="H99" t="s">
        <v>78</v>
      </c>
      <c r="I99" t="s">
        <v>78</v>
      </c>
      <c r="J99" t="s">
        <v>78</v>
      </c>
      <c r="K99" t="s">
        <v>78</v>
      </c>
      <c r="L99" t="s">
        <v>78</v>
      </c>
      <c r="M99" t="s">
        <v>78</v>
      </c>
      <c r="N99" t="s">
        <v>78</v>
      </c>
      <c r="O99" t="s">
        <v>78</v>
      </c>
      <c r="P99" t="s">
        <v>78</v>
      </c>
    </row>
    <row r="100" spans="1:16">
      <c r="A100" s="21"/>
    </row>
    <row r="101" spans="1:16">
      <c r="A101" s="22"/>
      <c r="B101" t="s">
        <v>144</v>
      </c>
    </row>
    <row r="102" spans="1:16">
      <c r="A102" s="22">
        <v>306435</v>
      </c>
      <c r="B102" t="s">
        <v>145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</row>
    <row r="103" spans="1:16">
      <c r="A103" s="22">
        <v>402035</v>
      </c>
      <c r="B103" t="s">
        <v>146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</row>
    <row r="104" spans="1:16">
      <c r="A104" s="22">
        <v>64235</v>
      </c>
      <c r="B104" t="s">
        <v>147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>
      <c r="A105" s="22"/>
      <c r="B105" t="s">
        <v>148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>
      <c r="A106" s="22"/>
      <c r="B106" t="s">
        <v>149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</row>
    <row r="107" spans="1:16">
      <c r="A107" s="21"/>
    </row>
    <row r="108" spans="1:16">
      <c r="A108" s="22">
        <v>412035</v>
      </c>
      <c r="B108" t="s">
        <v>150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</row>
    <row r="109" spans="1:16">
      <c r="A109" s="22">
        <v>64335</v>
      </c>
      <c r="B109" t="s">
        <v>151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1:16">
      <c r="A110" s="22"/>
      <c r="B110" t="s">
        <v>152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</row>
    <row r="111" spans="1:16">
      <c r="A111" s="22"/>
      <c r="B111" t="s">
        <v>153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</row>
    <row r="112" spans="1:16">
      <c r="A112" s="22"/>
      <c r="C112" t="s">
        <v>98</v>
      </c>
      <c r="D112" t="s">
        <v>88</v>
      </c>
      <c r="E112" t="s">
        <v>72</v>
      </c>
      <c r="F112" t="s">
        <v>72</v>
      </c>
      <c r="G112" t="s">
        <v>72</v>
      </c>
      <c r="H112" t="s">
        <v>72</v>
      </c>
      <c r="I112" t="s">
        <v>72</v>
      </c>
      <c r="J112" t="s">
        <v>72</v>
      </c>
      <c r="K112" t="s">
        <v>72</v>
      </c>
      <c r="L112" t="s">
        <v>72</v>
      </c>
      <c r="M112" t="s">
        <v>72</v>
      </c>
      <c r="N112" t="s">
        <v>72</v>
      </c>
      <c r="O112" t="s">
        <v>72</v>
      </c>
      <c r="P112" t="s">
        <v>72</v>
      </c>
    </row>
    <row r="113" spans="1:16">
      <c r="A113" s="22"/>
      <c r="B113" t="s">
        <v>8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</row>
    <row r="114" spans="1:16">
      <c r="A114" s="22"/>
      <c r="B114" t="s">
        <v>99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>
      <c r="A115" s="22"/>
      <c r="C115" t="s">
        <v>100</v>
      </c>
      <c r="D115" t="s">
        <v>101</v>
      </c>
      <c r="E115" t="s">
        <v>78</v>
      </c>
      <c r="F115" t="s">
        <v>78</v>
      </c>
      <c r="G115" t="s">
        <v>78</v>
      </c>
      <c r="H115" t="s">
        <v>78</v>
      </c>
      <c r="I115" t="s">
        <v>78</v>
      </c>
      <c r="J115" t="s">
        <v>78</v>
      </c>
      <c r="K115" t="s">
        <v>78</v>
      </c>
      <c r="L115" t="s">
        <v>78</v>
      </c>
      <c r="M115" t="s">
        <v>78</v>
      </c>
      <c r="N115" t="s">
        <v>78</v>
      </c>
      <c r="O115" t="s">
        <v>78</v>
      </c>
      <c r="P115" t="s">
        <v>78</v>
      </c>
    </row>
    <row r="117" spans="1:16">
      <c r="A117" s="22" t="s">
        <v>74</v>
      </c>
      <c r="B117" t="s">
        <v>75</v>
      </c>
      <c r="N117" t="s">
        <v>76</v>
      </c>
      <c r="O117" t="s">
        <v>124</v>
      </c>
      <c r="P117" t="s">
        <v>231</v>
      </c>
    </row>
    <row r="118" spans="1:16">
      <c r="A118" s="22" t="s">
        <v>52</v>
      </c>
      <c r="B118" t="s">
        <v>53</v>
      </c>
      <c r="C118" t="s">
        <v>54</v>
      </c>
      <c r="N118" t="s">
        <v>55</v>
      </c>
      <c r="O118" t="s">
        <v>82</v>
      </c>
      <c r="P118">
        <v>0</v>
      </c>
    </row>
    <row r="119" spans="1:16">
      <c r="A119" s="22" t="s">
        <v>83</v>
      </c>
      <c r="B119" t="s">
        <v>84</v>
      </c>
      <c r="N119" t="s">
        <v>85</v>
      </c>
      <c r="O119" t="s">
        <v>86</v>
      </c>
      <c r="P119" t="s">
        <v>229</v>
      </c>
    </row>
    <row r="120" spans="1:16">
      <c r="A120" s="22" t="s">
        <v>56</v>
      </c>
      <c r="B120" t="s">
        <v>57</v>
      </c>
      <c r="N120" t="s">
        <v>87</v>
      </c>
    </row>
    <row r="121" spans="1:16">
      <c r="A121" s="21"/>
    </row>
    <row r="122" spans="1:16">
      <c r="A122" s="22" t="s">
        <v>58</v>
      </c>
      <c r="B122" t="s">
        <v>59</v>
      </c>
      <c r="D122" t="s">
        <v>56</v>
      </c>
      <c r="E122" t="s">
        <v>60</v>
      </c>
      <c r="F122" t="s">
        <v>61</v>
      </c>
      <c r="G122" t="s">
        <v>62</v>
      </c>
      <c r="H122" t="s">
        <v>63</v>
      </c>
      <c r="I122" t="s">
        <v>64</v>
      </c>
      <c r="J122" t="s">
        <v>65</v>
      </c>
      <c r="K122" t="s">
        <v>66</v>
      </c>
      <c r="L122" t="s">
        <v>67</v>
      </c>
      <c r="M122" t="s">
        <v>79</v>
      </c>
      <c r="N122" t="s">
        <v>80</v>
      </c>
      <c r="O122" t="s">
        <v>68</v>
      </c>
      <c r="P122" t="s">
        <v>56</v>
      </c>
    </row>
    <row r="123" spans="1:16">
      <c r="A123" s="22" t="s">
        <v>69</v>
      </c>
      <c r="B123" t="s">
        <v>70</v>
      </c>
      <c r="C123" t="s">
        <v>98</v>
      </c>
      <c r="D123" t="s">
        <v>72</v>
      </c>
      <c r="E123" t="s">
        <v>71</v>
      </c>
      <c r="F123" t="s">
        <v>71</v>
      </c>
      <c r="G123" t="s">
        <v>71</v>
      </c>
      <c r="H123" t="s">
        <v>71</v>
      </c>
      <c r="I123" t="s">
        <v>71</v>
      </c>
      <c r="J123" t="s">
        <v>71</v>
      </c>
      <c r="K123" t="s">
        <v>71</v>
      </c>
      <c r="L123" t="s">
        <v>71</v>
      </c>
      <c r="M123" t="s">
        <v>71</v>
      </c>
      <c r="N123" t="s">
        <v>71</v>
      </c>
      <c r="O123" t="s">
        <v>71</v>
      </c>
      <c r="P123" t="s">
        <v>71</v>
      </c>
    </row>
    <row r="124" spans="1:16">
      <c r="A124" s="21"/>
    </row>
    <row r="125" spans="1:16">
      <c r="A125" s="22"/>
      <c r="B125" t="s">
        <v>154</v>
      </c>
    </row>
    <row r="126" spans="1:16">
      <c r="A126" s="22">
        <v>306436</v>
      </c>
      <c r="B126" t="s">
        <v>155</v>
      </c>
      <c r="D126">
        <v>0</v>
      </c>
      <c r="E126">
        <v>242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</row>
    <row r="127" spans="1:16">
      <c r="A127" s="22">
        <v>402036</v>
      </c>
      <c r="B127" t="s">
        <v>156</v>
      </c>
      <c r="D127" s="23">
        <v>40109</v>
      </c>
      <c r="E127" s="23">
        <v>37114</v>
      </c>
      <c r="F127" s="23">
        <v>37096</v>
      </c>
      <c r="G127" s="23">
        <v>39574</v>
      </c>
      <c r="H127" s="23">
        <v>43213</v>
      </c>
      <c r="I127" s="23">
        <v>39872</v>
      </c>
      <c r="J127" s="23">
        <v>47023</v>
      </c>
      <c r="K127" s="23">
        <v>38089</v>
      </c>
      <c r="L127" s="23">
        <v>37607</v>
      </c>
      <c r="M127" s="23">
        <v>44082</v>
      </c>
      <c r="N127" s="23">
        <v>34863</v>
      </c>
      <c r="O127" s="23">
        <v>32567</v>
      </c>
      <c r="P127" s="23">
        <v>46646</v>
      </c>
    </row>
    <row r="128" spans="1:16">
      <c r="A128" s="22">
        <v>64236</v>
      </c>
      <c r="B128" t="s">
        <v>157</v>
      </c>
      <c r="D128">
        <v>425</v>
      </c>
      <c r="E128">
        <v>375</v>
      </c>
      <c r="F128">
        <v>381</v>
      </c>
      <c r="G128">
        <v>402</v>
      </c>
      <c r="H128">
        <v>415</v>
      </c>
      <c r="I128">
        <v>388</v>
      </c>
      <c r="J128">
        <v>465</v>
      </c>
      <c r="K128">
        <v>406</v>
      </c>
      <c r="L128">
        <v>404</v>
      </c>
      <c r="M128">
        <v>439</v>
      </c>
      <c r="N128">
        <v>363</v>
      </c>
      <c r="O128">
        <v>333</v>
      </c>
      <c r="P128">
        <v>481</v>
      </c>
    </row>
    <row r="129" spans="1:16">
      <c r="A129" s="22"/>
      <c r="B129" t="s">
        <v>158</v>
      </c>
      <c r="D129">
        <v>-94.37</v>
      </c>
      <c r="E129">
        <v>-98.32</v>
      </c>
      <c r="F129">
        <v>-97.37</v>
      </c>
      <c r="G129">
        <v>-98.44</v>
      </c>
      <c r="H129">
        <v>-104.13</v>
      </c>
      <c r="I129">
        <v>-102.76</v>
      </c>
      <c r="J129">
        <v>-101.13</v>
      </c>
      <c r="K129">
        <v>-93.81</v>
      </c>
      <c r="L129">
        <v>-93.09</v>
      </c>
      <c r="M129">
        <v>-100.41</v>
      </c>
      <c r="N129">
        <v>-96.04</v>
      </c>
      <c r="O129">
        <v>-97.8</v>
      </c>
      <c r="P129">
        <v>-96.98</v>
      </c>
    </row>
    <row r="130" spans="1:16">
      <c r="A130" s="22"/>
      <c r="B130" t="s">
        <v>159</v>
      </c>
      <c r="D130">
        <v>18</v>
      </c>
      <c r="E130">
        <v>16</v>
      </c>
      <c r="F130">
        <v>17</v>
      </c>
      <c r="G130">
        <v>17</v>
      </c>
      <c r="H130">
        <v>18</v>
      </c>
      <c r="I130">
        <v>17</v>
      </c>
      <c r="J130">
        <v>20</v>
      </c>
      <c r="K130">
        <v>18</v>
      </c>
      <c r="L130">
        <v>19</v>
      </c>
      <c r="M130">
        <v>19</v>
      </c>
      <c r="N130">
        <v>15</v>
      </c>
      <c r="O130">
        <v>16</v>
      </c>
      <c r="P130">
        <v>20</v>
      </c>
    </row>
    <row r="131" spans="1:16">
      <c r="A131" s="21"/>
    </row>
    <row r="132" spans="1:16">
      <c r="A132" s="22">
        <v>316436</v>
      </c>
      <c r="B132" t="s">
        <v>160</v>
      </c>
      <c r="D132" s="23">
        <v>5292</v>
      </c>
      <c r="E132" s="23">
        <v>5123</v>
      </c>
      <c r="F132" s="23">
        <v>4747</v>
      </c>
      <c r="G132" s="23">
        <v>4222</v>
      </c>
      <c r="H132" s="23">
        <v>3863</v>
      </c>
      <c r="I132" s="23">
        <v>3561</v>
      </c>
      <c r="J132" s="23">
        <v>4365</v>
      </c>
      <c r="K132" s="23">
        <v>6228</v>
      </c>
      <c r="L132" s="23">
        <v>3778</v>
      </c>
      <c r="M132" s="23">
        <v>4463</v>
      </c>
      <c r="N132" s="23">
        <v>5208</v>
      </c>
      <c r="O132" s="23">
        <v>4637</v>
      </c>
      <c r="P132" s="23">
        <v>4861</v>
      </c>
    </row>
    <row r="133" spans="1:16">
      <c r="A133" s="22">
        <v>412036</v>
      </c>
      <c r="B133" t="s">
        <v>161</v>
      </c>
      <c r="D133" s="23">
        <v>22626</v>
      </c>
      <c r="E133" s="23">
        <v>22344</v>
      </c>
      <c r="F133" s="23">
        <v>21355</v>
      </c>
      <c r="G133" s="23">
        <v>21028</v>
      </c>
      <c r="H133" s="23">
        <v>20294</v>
      </c>
      <c r="I133" s="23">
        <v>16229</v>
      </c>
      <c r="J133" s="23">
        <v>16827</v>
      </c>
      <c r="K133" s="23">
        <v>15501</v>
      </c>
      <c r="L133" s="23">
        <v>12280</v>
      </c>
      <c r="M133" s="23">
        <v>16326</v>
      </c>
      <c r="N133" s="23">
        <v>18478</v>
      </c>
      <c r="O133" s="23">
        <v>17804</v>
      </c>
      <c r="P133" s="23">
        <v>18885</v>
      </c>
    </row>
    <row r="134" spans="1:16">
      <c r="A134" s="22">
        <v>64336</v>
      </c>
      <c r="B134" t="s">
        <v>162</v>
      </c>
      <c r="D134">
        <v>324</v>
      </c>
      <c r="E134">
        <v>313</v>
      </c>
      <c r="F134">
        <v>311</v>
      </c>
      <c r="G134">
        <v>305</v>
      </c>
      <c r="H134">
        <v>296</v>
      </c>
      <c r="I134">
        <v>267</v>
      </c>
      <c r="J134">
        <v>286</v>
      </c>
      <c r="K134">
        <v>249</v>
      </c>
      <c r="L134">
        <v>221</v>
      </c>
      <c r="M134">
        <v>247</v>
      </c>
      <c r="N134">
        <v>264</v>
      </c>
      <c r="O134">
        <v>245</v>
      </c>
      <c r="P134">
        <v>253</v>
      </c>
    </row>
    <row r="135" spans="1:16">
      <c r="A135" s="22"/>
      <c r="B135" t="s">
        <v>163</v>
      </c>
      <c r="D135">
        <v>-53.5</v>
      </c>
      <c r="E135">
        <v>-55.02</v>
      </c>
      <c r="F135">
        <v>-53.4</v>
      </c>
      <c r="G135">
        <v>-55.1</v>
      </c>
      <c r="H135">
        <v>-55.51</v>
      </c>
      <c r="I135">
        <v>-47.45</v>
      </c>
      <c r="J135">
        <v>-43.57</v>
      </c>
      <c r="K135">
        <v>-37.24</v>
      </c>
      <c r="L135">
        <v>-38.47</v>
      </c>
      <c r="M135">
        <v>-48.03</v>
      </c>
      <c r="N135">
        <v>-50.27</v>
      </c>
      <c r="O135">
        <v>-53.74</v>
      </c>
      <c r="P135">
        <v>-55.43</v>
      </c>
    </row>
    <row r="136" spans="1:16">
      <c r="A136" s="22"/>
      <c r="B136" t="s">
        <v>164</v>
      </c>
      <c r="D136">
        <v>14</v>
      </c>
      <c r="E136">
        <v>14</v>
      </c>
      <c r="F136">
        <v>14</v>
      </c>
      <c r="G136">
        <v>13</v>
      </c>
      <c r="H136">
        <v>13</v>
      </c>
      <c r="I136">
        <v>12</v>
      </c>
      <c r="J136">
        <v>12</v>
      </c>
      <c r="K136">
        <v>11</v>
      </c>
      <c r="L136">
        <v>11</v>
      </c>
      <c r="M136">
        <v>11</v>
      </c>
      <c r="N136">
        <v>11</v>
      </c>
      <c r="O136">
        <v>12</v>
      </c>
      <c r="P136">
        <v>11</v>
      </c>
    </row>
    <row r="137" spans="1:16">
      <c r="A137" s="22"/>
      <c r="C137" t="s">
        <v>98</v>
      </c>
      <c r="D137" t="s">
        <v>88</v>
      </c>
      <c r="E137" t="s">
        <v>72</v>
      </c>
      <c r="F137" t="s">
        <v>72</v>
      </c>
      <c r="G137" t="s">
        <v>72</v>
      </c>
      <c r="H137" t="s">
        <v>72</v>
      </c>
      <c r="I137" t="s">
        <v>72</v>
      </c>
      <c r="J137" t="s">
        <v>72</v>
      </c>
      <c r="K137" t="s">
        <v>72</v>
      </c>
      <c r="L137" t="s">
        <v>72</v>
      </c>
      <c r="M137" t="s">
        <v>72</v>
      </c>
      <c r="N137" t="s">
        <v>72</v>
      </c>
      <c r="O137" t="s">
        <v>72</v>
      </c>
      <c r="P137" t="s">
        <v>72</v>
      </c>
    </row>
    <row r="138" spans="1:16">
      <c r="A138" s="22"/>
      <c r="B138" t="s">
        <v>8</v>
      </c>
      <c r="D138">
        <v>749</v>
      </c>
      <c r="E138">
        <v>689</v>
      </c>
      <c r="F138">
        <v>692</v>
      </c>
      <c r="G138">
        <v>707</v>
      </c>
      <c r="H138">
        <v>711</v>
      </c>
      <c r="I138">
        <v>655</v>
      </c>
      <c r="J138">
        <v>750</v>
      </c>
      <c r="K138">
        <v>655</v>
      </c>
      <c r="L138">
        <v>625</v>
      </c>
      <c r="M138">
        <v>687</v>
      </c>
      <c r="N138">
        <v>627</v>
      </c>
      <c r="O138">
        <v>578</v>
      </c>
      <c r="P138">
        <v>734</v>
      </c>
    </row>
    <row r="139" spans="1:16">
      <c r="A139" s="22"/>
      <c r="B139" t="s">
        <v>99</v>
      </c>
      <c r="D139">
        <v>32</v>
      </c>
      <c r="E139">
        <v>30</v>
      </c>
      <c r="F139">
        <v>31</v>
      </c>
      <c r="G139">
        <v>29</v>
      </c>
      <c r="H139">
        <v>31</v>
      </c>
      <c r="I139">
        <v>29</v>
      </c>
      <c r="J139">
        <v>33</v>
      </c>
      <c r="K139">
        <v>28</v>
      </c>
      <c r="L139">
        <v>30</v>
      </c>
      <c r="M139">
        <v>30</v>
      </c>
      <c r="N139">
        <v>26</v>
      </c>
      <c r="O139">
        <v>27</v>
      </c>
      <c r="P139">
        <v>31</v>
      </c>
    </row>
    <row r="140" spans="1:16">
      <c r="A140" s="22"/>
      <c r="C140" t="s">
        <v>100</v>
      </c>
      <c r="D140" t="s">
        <v>101</v>
      </c>
      <c r="E140" t="s">
        <v>78</v>
      </c>
      <c r="F140" t="s">
        <v>78</v>
      </c>
      <c r="G140" t="s">
        <v>78</v>
      </c>
      <c r="H140" t="s">
        <v>78</v>
      </c>
      <c r="I140" t="s">
        <v>78</v>
      </c>
      <c r="J140" t="s">
        <v>78</v>
      </c>
      <c r="K140" t="s">
        <v>78</v>
      </c>
      <c r="L140" t="s">
        <v>78</v>
      </c>
      <c r="M140" t="s">
        <v>78</v>
      </c>
      <c r="N140" t="s">
        <v>78</v>
      </c>
      <c r="O140" t="s">
        <v>78</v>
      </c>
      <c r="P140" t="s">
        <v>78</v>
      </c>
    </row>
    <row r="141" spans="1:16">
      <c r="A141" s="21"/>
    </row>
    <row r="142" spans="1:16">
      <c r="A142" s="22"/>
      <c r="B142" t="s">
        <v>165</v>
      </c>
    </row>
    <row r="143" spans="1:16">
      <c r="A143" s="22">
        <v>306440</v>
      </c>
      <c r="B143" t="s">
        <v>166</v>
      </c>
      <c r="D143">
        <v>462</v>
      </c>
      <c r="E143">
        <v>0</v>
      </c>
      <c r="F143">
        <v>527</v>
      </c>
      <c r="G143">
        <v>340</v>
      </c>
      <c r="H143">
        <v>440</v>
      </c>
      <c r="I143">
        <v>380</v>
      </c>
      <c r="J143">
        <v>682</v>
      </c>
      <c r="K143">
        <v>0</v>
      </c>
      <c r="L143">
        <v>444</v>
      </c>
      <c r="M143">
        <v>486</v>
      </c>
      <c r="N143">
        <v>0</v>
      </c>
      <c r="O143">
        <v>764</v>
      </c>
      <c r="P143">
        <v>549</v>
      </c>
    </row>
    <row r="144" spans="1:16">
      <c r="A144" s="22">
        <v>402040</v>
      </c>
      <c r="B144" t="s">
        <v>167</v>
      </c>
      <c r="D144" s="23">
        <v>19910</v>
      </c>
      <c r="E144" s="23">
        <v>16819</v>
      </c>
      <c r="F144" s="23">
        <v>16752</v>
      </c>
      <c r="G144" s="23">
        <v>17785</v>
      </c>
      <c r="H144" s="23">
        <v>9206</v>
      </c>
      <c r="I144" s="23">
        <v>22977</v>
      </c>
      <c r="J144" s="23">
        <v>37081</v>
      </c>
      <c r="K144" s="23">
        <v>44263</v>
      </c>
      <c r="L144" s="23">
        <v>8282</v>
      </c>
      <c r="M144" s="23">
        <v>16122</v>
      </c>
      <c r="N144" s="23">
        <v>8792</v>
      </c>
      <c r="O144" s="23">
        <v>12536</v>
      </c>
      <c r="P144" s="23">
        <v>23241</v>
      </c>
    </row>
    <row r="145" spans="1:16">
      <c r="A145" s="22">
        <v>64240</v>
      </c>
      <c r="B145" t="s">
        <v>168</v>
      </c>
      <c r="D145">
        <v>306</v>
      </c>
      <c r="E145">
        <v>182</v>
      </c>
      <c r="F145">
        <v>205</v>
      </c>
      <c r="G145">
        <v>211</v>
      </c>
      <c r="H145">
        <v>124</v>
      </c>
      <c r="I145">
        <v>376</v>
      </c>
      <c r="J145">
        <v>651</v>
      </c>
      <c r="K145">
        <v>895</v>
      </c>
      <c r="L145">
        <v>102</v>
      </c>
      <c r="M145">
        <v>194</v>
      </c>
      <c r="N145">
        <v>132</v>
      </c>
      <c r="O145">
        <v>140</v>
      </c>
      <c r="P145">
        <v>271</v>
      </c>
    </row>
    <row r="146" spans="1:16">
      <c r="A146" s="22"/>
      <c r="B146" t="s">
        <v>169</v>
      </c>
      <c r="D146">
        <v>-63.56</v>
      </c>
      <c r="E146">
        <v>-92.41</v>
      </c>
      <c r="F146">
        <v>-79.14</v>
      </c>
      <c r="G146">
        <v>-82.68</v>
      </c>
      <c r="H146">
        <v>-70.69</v>
      </c>
      <c r="I146">
        <v>-60.1</v>
      </c>
      <c r="J146">
        <v>-55.91</v>
      </c>
      <c r="K146">
        <v>-49.46</v>
      </c>
      <c r="L146">
        <v>-76.849999999999994</v>
      </c>
      <c r="M146">
        <v>-80.59</v>
      </c>
      <c r="N146">
        <v>-66.61</v>
      </c>
      <c r="O146">
        <v>-84.08</v>
      </c>
      <c r="P146">
        <v>-83.73</v>
      </c>
    </row>
    <row r="147" spans="1:16">
      <c r="A147" s="22"/>
      <c r="B147" t="s">
        <v>170</v>
      </c>
      <c r="D147">
        <v>13</v>
      </c>
      <c r="E147">
        <v>8</v>
      </c>
      <c r="F147">
        <v>9</v>
      </c>
      <c r="G147">
        <v>9</v>
      </c>
      <c r="H147">
        <v>5</v>
      </c>
      <c r="I147">
        <v>17</v>
      </c>
      <c r="J147">
        <v>28</v>
      </c>
      <c r="K147">
        <v>39</v>
      </c>
      <c r="L147">
        <v>5</v>
      </c>
      <c r="M147">
        <v>8</v>
      </c>
      <c r="N147">
        <v>6</v>
      </c>
      <c r="O147">
        <v>7</v>
      </c>
      <c r="P147">
        <v>11</v>
      </c>
    </row>
    <row r="148" spans="1:16">
      <c r="A148" s="21"/>
    </row>
    <row r="149" spans="1:16">
      <c r="A149" s="22">
        <v>412040</v>
      </c>
      <c r="B149" t="s">
        <v>167</v>
      </c>
      <c r="D149" s="23">
        <v>10207</v>
      </c>
      <c r="E149">
        <v>0</v>
      </c>
      <c r="F149" s="23">
        <v>7794</v>
      </c>
      <c r="G149" s="23">
        <v>8034</v>
      </c>
      <c r="H149" s="23">
        <v>22305</v>
      </c>
      <c r="I149" s="23">
        <v>7548</v>
      </c>
      <c r="J149" s="23">
        <v>11792</v>
      </c>
      <c r="K149">
        <v>783</v>
      </c>
      <c r="L149">
        <v>842</v>
      </c>
      <c r="M149">
        <v>0</v>
      </c>
      <c r="N149" s="23">
        <v>17591</v>
      </c>
      <c r="O149" s="23">
        <v>10387</v>
      </c>
      <c r="P149" s="23">
        <v>1378</v>
      </c>
    </row>
    <row r="150" spans="1:16">
      <c r="A150" s="22">
        <v>64340</v>
      </c>
      <c r="B150" t="s">
        <v>168</v>
      </c>
      <c r="D150">
        <v>139</v>
      </c>
      <c r="E150">
        <v>0</v>
      </c>
      <c r="F150">
        <v>80</v>
      </c>
      <c r="G150">
        <v>100</v>
      </c>
      <c r="H150">
        <v>115</v>
      </c>
      <c r="I150">
        <v>62</v>
      </c>
      <c r="J150">
        <v>73</v>
      </c>
      <c r="K150">
        <v>26</v>
      </c>
      <c r="L150">
        <v>28</v>
      </c>
      <c r="M150">
        <v>0</v>
      </c>
      <c r="N150">
        <v>96</v>
      </c>
      <c r="O150">
        <v>22</v>
      </c>
      <c r="P150">
        <v>28</v>
      </c>
    </row>
    <row r="151" spans="1:16">
      <c r="A151" s="22"/>
      <c r="B151" t="s">
        <v>171</v>
      </c>
      <c r="D151">
        <v>-73.430000000000007</v>
      </c>
      <c r="E151">
        <v>0</v>
      </c>
      <c r="F151">
        <v>-97.43</v>
      </c>
      <c r="G151">
        <v>-80.34</v>
      </c>
      <c r="H151">
        <v>-193.96</v>
      </c>
      <c r="I151">
        <v>-121.75</v>
      </c>
      <c r="J151">
        <v>-161.53</v>
      </c>
      <c r="K151">
        <v>-30.1</v>
      </c>
      <c r="L151">
        <v>-30.08</v>
      </c>
      <c r="M151">
        <v>0</v>
      </c>
      <c r="N151">
        <v>-183.24</v>
      </c>
      <c r="O151">
        <v>-472.11</v>
      </c>
      <c r="P151">
        <v>-49.21</v>
      </c>
    </row>
    <row r="152" spans="1:16">
      <c r="A152" s="22"/>
      <c r="B152" t="s">
        <v>172</v>
      </c>
      <c r="D152">
        <v>6</v>
      </c>
      <c r="E152">
        <v>0</v>
      </c>
      <c r="F152">
        <v>4</v>
      </c>
      <c r="G152">
        <v>4</v>
      </c>
      <c r="H152">
        <v>5</v>
      </c>
      <c r="I152">
        <v>3</v>
      </c>
      <c r="J152">
        <v>3</v>
      </c>
      <c r="K152">
        <v>1</v>
      </c>
      <c r="L152">
        <v>1</v>
      </c>
      <c r="M152">
        <v>0</v>
      </c>
      <c r="N152">
        <v>4</v>
      </c>
      <c r="O152">
        <v>1</v>
      </c>
      <c r="P152">
        <v>1</v>
      </c>
    </row>
    <row r="153" spans="1:16">
      <c r="A153" s="22"/>
      <c r="C153" t="s">
        <v>98</v>
      </c>
      <c r="D153" t="s">
        <v>88</v>
      </c>
      <c r="E153" t="s">
        <v>72</v>
      </c>
      <c r="F153" t="s">
        <v>72</v>
      </c>
      <c r="G153" t="s">
        <v>72</v>
      </c>
      <c r="H153" t="s">
        <v>72</v>
      </c>
      <c r="I153" t="s">
        <v>72</v>
      </c>
      <c r="J153" t="s">
        <v>72</v>
      </c>
      <c r="K153" t="s">
        <v>72</v>
      </c>
      <c r="L153" t="s">
        <v>72</v>
      </c>
      <c r="M153" t="s">
        <v>72</v>
      </c>
      <c r="N153" t="s">
        <v>72</v>
      </c>
      <c r="O153" t="s">
        <v>72</v>
      </c>
      <c r="P153" t="s">
        <v>72</v>
      </c>
    </row>
    <row r="154" spans="1:16">
      <c r="A154" s="22"/>
      <c r="B154" t="s">
        <v>8</v>
      </c>
      <c r="D154">
        <v>445</v>
      </c>
      <c r="E154">
        <v>182</v>
      </c>
      <c r="F154">
        <v>286</v>
      </c>
      <c r="G154">
        <v>312</v>
      </c>
      <c r="H154">
        <v>239</v>
      </c>
      <c r="I154">
        <v>438</v>
      </c>
      <c r="J154">
        <v>723</v>
      </c>
      <c r="K154">
        <v>921</v>
      </c>
      <c r="L154">
        <v>130</v>
      </c>
      <c r="M154">
        <v>194</v>
      </c>
      <c r="N154">
        <v>229</v>
      </c>
      <c r="O154">
        <v>162</v>
      </c>
      <c r="P154">
        <v>299</v>
      </c>
    </row>
    <row r="155" spans="1:16">
      <c r="A155" s="22"/>
      <c r="B155" t="s">
        <v>99</v>
      </c>
      <c r="D155">
        <v>19</v>
      </c>
      <c r="E155">
        <v>8</v>
      </c>
      <c r="F155">
        <v>13</v>
      </c>
      <c r="G155">
        <v>13</v>
      </c>
      <c r="H155">
        <v>10</v>
      </c>
      <c r="I155">
        <v>20</v>
      </c>
      <c r="J155">
        <v>31</v>
      </c>
      <c r="K155">
        <v>40</v>
      </c>
      <c r="L155">
        <v>6</v>
      </c>
      <c r="M155">
        <v>8</v>
      </c>
      <c r="N155">
        <v>10</v>
      </c>
      <c r="O155">
        <v>8</v>
      </c>
      <c r="P155">
        <v>12</v>
      </c>
    </row>
    <row r="156" spans="1:16">
      <c r="A156" s="22"/>
      <c r="C156" t="s">
        <v>100</v>
      </c>
      <c r="D156" t="s">
        <v>101</v>
      </c>
      <c r="E156" t="s">
        <v>78</v>
      </c>
      <c r="F156" t="s">
        <v>78</v>
      </c>
      <c r="G156" t="s">
        <v>78</v>
      </c>
      <c r="H156" t="s">
        <v>78</v>
      </c>
      <c r="I156" t="s">
        <v>78</v>
      </c>
      <c r="J156" t="s">
        <v>78</v>
      </c>
      <c r="K156" t="s">
        <v>78</v>
      </c>
      <c r="L156" t="s">
        <v>78</v>
      </c>
      <c r="M156" t="s">
        <v>78</v>
      </c>
      <c r="N156" t="s">
        <v>78</v>
      </c>
      <c r="O156" t="s">
        <v>78</v>
      </c>
      <c r="P156" t="s">
        <v>78</v>
      </c>
    </row>
    <row r="157" spans="1:16">
      <c r="A157" s="21"/>
    </row>
    <row r="158" spans="1:16">
      <c r="A158" s="22"/>
      <c r="B158" t="s">
        <v>173</v>
      </c>
    </row>
    <row r="159" spans="1:16">
      <c r="A159" s="22">
        <v>306441</v>
      </c>
      <c r="B159" t="s">
        <v>174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</row>
    <row r="160" spans="1:16">
      <c r="A160" s="22">
        <v>402041</v>
      </c>
      <c r="B160" t="s">
        <v>175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>
      <c r="A161" s="22">
        <v>64241</v>
      </c>
      <c r="B161" t="s">
        <v>176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</row>
    <row r="162" spans="1:16">
      <c r="A162" s="22"/>
      <c r="B162" t="s">
        <v>177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</row>
    <row r="163" spans="1:16">
      <c r="A163" s="22"/>
      <c r="B163" t="s">
        <v>178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>
      <c r="A164" s="21"/>
    </row>
    <row r="165" spans="1:16">
      <c r="A165" s="22">
        <v>316441</v>
      </c>
      <c r="B165" t="s">
        <v>179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>
      <c r="A166" s="22">
        <v>412041</v>
      </c>
      <c r="B166" t="s">
        <v>180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</row>
    <row r="167" spans="1:16">
      <c r="A167" s="22">
        <v>64341</v>
      </c>
      <c r="B167" t="s">
        <v>181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</row>
    <row r="168" spans="1:16">
      <c r="A168" s="22"/>
      <c r="B168" t="s">
        <v>182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>
      <c r="A169" s="22"/>
      <c r="B169" t="s">
        <v>183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>
      <c r="A170" s="22"/>
      <c r="C170" t="s">
        <v>98</v>
      </c>
      <c r="D170" t="s">
        <v>88</v>
      </c>
      <c r="E170" t="s">
        <v>72</v>
      </c>
      <c r="F170" t="s">
        <v>72</v>
      </c>
      <c r="G170" t="s">
        <v>72</v>
      </c>
      <c r="H170" t="s">
        <v>72</v>
      </c>
      <c r="I170" t="s">
        <v>72</v>
      </c>
      <c r="J170" t="s">
        <v>72</v>
      </c>
      <c r="K170" t="s">
        <v>72</v>
      </c>
      <c r="L170" t="s">
        <v>72</v>
      </c>
      <c r="M170" t="s">
        <v>72</v>
      </c>
      <c r="N170" t="s">
        <v>72</v>
      </c>
      <c r="O170" t="s">
        <v>72</v>
      </c>
      <c r="P170" t="s">
        <v>72</v>
      </c>
    </row>
    <row r="171" spans="1:16">
      <c r="A171" s="22"/>
      <c r="B171" t="s">
        <v>8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</row>
    <row r="172" spans="1:16">
      <c r="A172" s="22"/>
      <c r="B172" t="s">
        <v>99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</row>
    <row r="173" spans="1:16">
      <c r="A173" s="22"/>
      <c r="C173" t="s">
        <v>100</v>
      </c>
      <c r="D173" t="s">
        <v>101</v>
      </c>
      <c r="E173" t="s">
        <v>78</v>
      </c>
      <c r="F173" t="s">
        <v>78</v>
      </c>
      <c r="G173" t="s">
        <v>78</v>
      </c>
      <c r="H173" t="s">
        <v>78</v>
      </c>
      <c r="I173" t="s">
        <v>78</v>
      </c>
      <c r="J173" t="s">
        <v>78</v>
      </c>
      <c r="K173" t="s">
        <v>78</v>
      </c>
      <c r="L173" t="s">
        <v>78</v>
      </c>
      <c r="M173" t="s">
        <v>78</v>
      </c>
      <c r="N173" t="s">
        <v>78</v>
      </c>
      <c r="O173" t="s">
        <v>78</v>
      </c>
      <c r="P173" t="s">
        <v>78</v>
      </c>
    </row>
    <row r="175" spans="1:16">
      <c r="A175" s="22" t="s">
        <v>74</v>
      </c>
      <c r="B175" t="s">
        <v>75</v>
      </c>
      <c r="N175" t="s">
        <v>76</v>
      </c>
      <c r="O175" t="s">
        <v>124</v>
      </c>
      <c r="P175" t="s">
        <v>232</v>
      </c>
    </row>
    <row r="176" spans="1:16">
      <c r="A176" s="22" t="s">
        <v>52</v>
      </c>
      <c r="B176" t="s">
        <v>53</v>
      </c>
      <c r="C176" t="s">
        <v>54</v>
      </c>
      <c r="N176" t="s">
        <v>55</v>
      </c>
      <c r="O176" t="s">
        <v>82</v>
      </c>
      <c r="P176">
        <v>0</v>
      </c>
    </row>
    <row r="177" spans="1:16">
      <c r="A177" s="22" t="s">
        <v>83</v>
      </c>
      <c r="B177" t="s">
        <v>84</v>
      </c>
      <c r="N177" t="s">
        <v>85</v>
      </c>
      <c r="O177" t="s">
        <v>86</v>
      </c>
      <c r="P177" t="s">
        <v>229</v>
      </c>
    </row>
    <row r="178" spans="1:16">
      <c r="A178" s="22" t="s">
        <v>56</v>
      </c>
      <c r="B178" t="s">
        <v>57</v>
      </c>
      <c r="N178" t="s">
        <v>87</v>
      </c>
    </row>
    <row r="179" spans="1:16">
      <c r="A179" s="21"/>
    </row>
    <row r="180" spans="1:16">
      <c r="A180" s="22" t="s">
        <v>58</v>
      </c>
      <c r="B180" t="s">
        <v>59</v>
      </c>
      <c r="D180" t="s">
        <v>56</v>
      </c>
      <c r="E180" t="s">
        <v>60</v>
      </c>
      <c r="F180" t="s">
        <v>61</v>
      </c>
      <c r="G180" t="s">
        <v>62</v>
      </c>
      <c r="H180" t="s">
        <v>63</v>
      </c>
      <c r="I180" t="s">
        <v>64</v>
      </c>
      <c r="J180" t="s">
        <v>65</v>
      </c>
      <c r="K180" t="s">
        <v>66</v>
      </c>
      <c r="L180" t="s">
        <v>67</v>
      </c>
      <c r="M180" t="s">
        <v>79</v>
      </c>
      <c r="N180" t="s">
        <v>80</v>
      </c>
      <c r="O180" t="s">
        <v>68</v>
      </c>
      <c r="P180" t="s">
        <v>56</v>
      </c>
    </row>
    <row r="181" spans="1:16">
      <c r="A181" s="22" t="s">
        <v>69</v>
      </c>
      <c r="B181" t="s">
        <v>70</v>
      </c>
      <c r="C181" t="s">
        <v>98</v>
      </c>
      <c r="D181" t="s">
        <v>72</v>
      </c>
      <c r="E181" t="s">
        <v>71</v>
      </c>
      <c r="F181" t="s">
        <v>71</v>
      </c>
      <c r="G181" t="s">
        <v>71</v>
      </c>
      <c r="H181" t="s">
        <v>71</v>
      </c>
      <c r="I181" t="s">
        <v>71</v>
      </c>
      <c r="J181" t="s">
        <v>71</v>
      </c>
      <c r="K181" t="s">
        <v>71</v>
      </c>
      <c r="L181" t="s">
        <v>71</v>
      </c>
      <c r="M181" t="s">
        <v>71</v>
      </c>
      <c r="N181" t="s">
        <v>71</v>
      </c>
      <c r="O181" t="s">
        <v>71</v>
      </c>
      <c r="P181" t="s">
        <v>71</v>
      </c>
    </row>
    <row r="182" spans="1:16">
      <c r="A182" s="21"/>
    </row>
    <row r="183" spans="1:16">
      <c r="A183" s="22"/>
      <c r="B183" t="s">
        <v>184</v>
      </c>
    </row>
    <row r="184" spans="1:16">
      <c r="A184" s="22">
        <v>306443</v>
      </c>
      <c r="B184" t="s">
        <v>185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</row>
    <row r="185" spans="1:16">
      <c r="A185" s="22">
        <v>402043</v>
      </c>
      <c r="B185" t="s">
        <v>186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</row>
    <row r="186" spans="1:16">
      <c r="A186" s="22">
        <v>64243</v>
      </c>
      <c r="B186" t="s">
        <v>187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</row>
    <row r="187" spans="1:16">
      <c r="A187" s="22"/>
      <c r="B187" t="s">
        <v>188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</row>
    <row r="188" spans="1:16">
      <c r="A188" s="22"/>
      <c r="B188" t="s">
        <v>189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</row>
    <row r="189" spans="1:16">
      <c r="A189" s="21"/>
    </row>
    <row r="190" spans="1:16">
      <c r="A190" s="22">
        <v>412043</v>
      </c>
      <c r="B190" t="s">
        <v>190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>
      <c r="A191" s="22">
        <v>64343</v>
      </c>
      <c r="B191" t="s">
        <v>191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</row>
    <row r="192" spans="1:16">
      <c r="A192" s="22"/>
      <c r="B192" t="s">
        <v>192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</row>
    <row r="193" spans="1:16">
      <c r="A193" s="22"/>
      <c r="B193" t="s">
        <v>193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</row>
    <row r="194" spans="1:16">
      <c r="A194" s="22"/>
      <c r="C194" t="s">
        <v>98</v>
      </c>
      <c r="D194" t="s">
        <v>88</v>
      </c>
      <c r="E194" t="s">
        <v>72</v>
      </c>
      <c r="F194" t="s">
        <v>72</v>
      </c>
      <c r="G194" t="s">
        <v>72</v>
      </c>
      <c r="H194" t="s">
        <v>72</v>
      </c>
      <c r="I194" t="s">
        <v>72</v>
      </c>
      <c r="J194" t="s">
        <v>72</v>
      </c>
      <c r="K194" t="s">
        <v>72</v>
      </c>
      <c r="L194" t="s">
        <v>72</v>
      </c>
      <c r="M194" t="s">
        <v>72</v>
      </c>
      <c r="N194" t="s">
        <v>72</v>
      </c>
      <c r="O194" t="s">
        <v>72</v>
      </c>
      <c r="P194" t="s">
        <v>72</v>
      </c>
    </row>
    <row r="195" spans="1:16">
      <c r="A195" s="22"/>
      <c r="B195" t="s">
        <v>8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6">
      <c r="A196" s="22"/>
      <c r="B196" t="s">
        <v>99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>
      <c r="A197" s="22"/>
      <c r="C197" t="s">
        <v>100</v>
      </c>
      <c r="D197" t="s">
        <v>101</v>
      </c>
      <c r="E197" t="s">
        <v>78</v>
      </c>
      <c r="F197" t="s">
        <v>78</v>
      </c>
      <c r="G197" t="s">
        <v>78</v>
      </c>
      <c r="H197" t="s">
        <v>78</v>
      </c>
      <c r="I197" t="s">
        <v>78</v>
      </c>
      <c r="J197" t="s">
        <v>78</v>
      </c>
      <c r="K197" t="s">
        <v>78</v>
      </c>
      <c r="L197" t="s">
        <v>78</v>
      </c>
      <c r="M197" t="s">
        <v>78</v>
      </c>
      <c r="N197" t="s">
        <v>78</v>
      </c>
      <c r="O197" t="s">
        <v>78</v>
      </c>
      <c r="P197" t="s">
        <v>78</v>
      </c>
    </row>
    <row r="198" spans="1:16">
      <c r="A198" s="21"/>
    </row>
    <row r="199" spans="1:16">
      <c r="A199" s="22"/>
      <c r="B199" t="s">
        <v>194</v>
      </c>
    </row>
    <row r="200" spans="1:16">
      <c r="A200" s="22">
        <v>306446</v>
      </c>
      <c r="B200" t="s">
        <v>195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1:16">
      <c r="A201" s="22">
        <v>402046</v>
      </c>
      <c r="B201" t="s">
        <v>196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</row>
    <row r="202" spans="1:16">
      <c r="A202" s="22">
        <v>64246</v>
      </c>
      <c r="B202" t="s">
        <v>197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</row>
    <row r="203" spans="1:16">
      <c r="A203" s="22"/>
      <c r="B203" t="s">
        <v>198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>
      <c r="A204" s="22"/>
      <c r="B204" t="s">
        <v>199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>
      <c r="A205" s="21"/>
    </row>
    <row r="206" spans="1:16">
      <c r="A206" s="22">
        <v>412046</v>
      </c>
      <c r="B206" t="s">
        <v>200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</row>
    <row r="207" spans="1:16">
      <c r="A207" s="22">
        <v>64346</v>
      </c>
      <c r="B207" t="s">
        <v>201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</row>
    <row r="208" spans="1:16">
      <c r="A208" s="22"/>
      <c r="B208" t="s">
        <v>202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</row>
    <row r="209" spans="1:16">
      <c r="A209" s="22"/>
      <c r="B209" t="s">
        <v>203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</row>
    <row r="210" spans="1:16">
      <c r="A210" s="22"/>
      <c r="C210" t="s">
        <v>98</v>
      </c>
      <c r="D210" t="s">
        <v>88</v>
      </c>
      <c r="E210" t="s">
        <v>72</v>
      </c>
      <c r="F210" t="s">
        <v>72</v>
      </c>
      <c r="G210" t="s">
        <v>72</v>
      </c>
      <c r="H210" t="s">
        <v>72</v>
      </c>
      <c r="I210" t="s">
        <v>72</v>
      </c>
      <c r="J210" t="s">
        <v>72</v>
      </c>
      <c r="K210" t="s">
        <v>72</v>
      </c>
      <c r="L210" t="s">
        <v>72</v>
      </c>
      <c r="M210" t="s">
        <v>72</v>
      </c>
      <c r="N210" t="s">
        <v>72</v>
      </c>
      <c r="O210" t="s">
        <v>72</v>
      </c>
      <c r="P210" t="s">
        <v>72</v>
      </c>
    </row>
    <row r="211" spans="1:16">
      <c r="A211" s="22"/>
      <c r="B211" t="s">
        <v>8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</row>
    <row r="212" spans="1:16">
      <c r="A212" s="22"/>
      <c r="B212" t="s">
        <v>99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>
      <c r="A213" s="22"/>
      <c r="C213" t="s">
        <v>100</v>
      </c>
      <c r="D213" t="s">
        <v>101</v>
      </c>
      <c r="E213" t="s">
        <v>78</v>
      </c>
      <c r="F213" t="s">
        <v>78</v>
      </c>
      <c r="G213" t="s">
        <v>78</v>
      </c>
      <c r="H213" t="s">
        <v>78</v>
      </c>
      <c r="I213" t="s">
        <v>78</v>
      </c>
      <c r="J213" t="s">
        <v>78</v>
      </c>
      <c r="K213" t="s">
        <v>78</v>
      </c>
      <c r="L213" t="s">
        <v>78</v>
      </c>
      <c r="M213" t="s">
        <v>78</v>
      </c>
      <c r="N213" t="s">
        <v>78</v>
      </c>
      <c r="O213" t="s">
        <v>78</v>
      </c>
      <c r="P213" t="s">
        <v>78</v>
      </c>
    </row>
    <row r="214" spans="1:16">
      <c r="A214" s="21"/>
    </row>
    <row r="215" spans="1:16">
      <c r="A215" s="22"/>
      <c r="B215" t="s">
        <v>204</v>
      </c>
    </row>
    <row r="216" spans="1:16">
      <c r="A216" s="22">
        <v>306447</v>
      </c>
      <c r="B216" t="s">
        <v>205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</row>
    <row r="217" spans="1:16">
      <c r="A217" s="22">
        <v>402047</v>
      </c>
      <c r="B217" t="s">
        <v>206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>
      <c r="A218" s="22">
        <v>64247</v>
      </c>
      <c r="B218" t="s">
        <v>207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>
      <c r="A219" s="22"/>
      <c r="B219" t="s">
        <v>208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</row>
    <row r="220" spans="1:16">
      <c r="A220" s="22"/>
      <c r="B220" t="s">
        <v>209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</row>
    <row r="221" spans="1:16">
      <c r="A221" s="21"/>
    </row>
    <row r="222" spans="1:16">
      <c r="A222" s="22">
        <v>412047</v>
      </c>
      <c r="B222" t="s">
        <v>210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>
      <c r="A223" s="22">
        <v>64347</v>
      </c>
      <c r="B223" t="s">
        <v>207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</row>
    <row r="224" spans="1:16">
      <c r="A224" s="22"/>
      <c r="B224" t="s">
        <v>211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</row>
    <row r="225" spans="1:16">
      <c r="A225" s="22"/>
      <c r="B225" t="s">
        <v>212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>
      <c r="A226" s="22"/>
      <c r="C226" t="s">
        <v>98</v>
      </c>
      <c r="D226" t="s">
        <v>88</v>
      </c>
      <c r="E226" t="s">
        <v>72</v>
      </c>
      <c r="F226" t="s">
        <v>72</v>
      </c>
      <c r="G226" t="s">
        <v>72</v>
      </c>
      <c r="H226" t="s">
        <v>72</v>
      </c>
      <c r="I226" t="s">
        <v>72</v>
      </c>
      <c r="J226" t="s">
        <v>72</v>
      </c>
      <c r="K226" t="s">
        <v>72</v>
      </c>
      <c r="L226" t="s">
        <v>72</v>
      </c>
      <c r="M226" t="s">
        <v>72</v>
      </c>
      <c r="N226" t="s">
        <v>72</v>
      </c>
      <c r="O226" t="s">
        <v>72</v>
      </c>
      <c r="P226" t="s">
        <v>72</v>
      </c>
    </row>
    <row r="227" spans="1:16">
      <c r="A227" s="22"/>
      <c r="B227" t="s">
        <v>8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</row>
    <row r="228" spans="1:16">
      <c r="A228" s="22"/>
      <c r="B228" t="s">
        <v>99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</row>
    <row r="229" spans="1:16">
      <c r="A229" s="22"/>
      <c r="C229" t="s">
        <v>100</v>
      </c>
      <c r="D229" t="s">
        <v>101</v>
      </c>
      <c r="E229" t="s">
        <v>78</v>
      </c>
      <c r="F229" t="s">
        <v>78</v>
      </c>
      <c r="G229" t="s">
        <v>78</v>
      </c>
      <c r="H229" t="s">
        <v>78</v>
      </c>
      <c r="I229" t="s">
        <v>78</v>
      </c>
      <c r="J229" t="s">
        <v>78</v>
      </c>
      <c r="K229" t="s">
        <v>78</v>
      </c>
      <c r="L229" t="s">
        <v>78</v>
      </c>
      <c r="M229" t="s">
        <v>78</v>
      </c>
      <c r="N229" t="s">
        <v>78</v>
      </c>
      <c r="O229" t="s">
        <v>78</v>
      </c>
      <c r="P229" t="s">
        <v>78</v>
      </c>
    </row>
    <row r="231" spans="1:16">
      <c r="A231" s="22" t="s">
        <v>74</v>
      </c>
      <c r="B231" t="s">
        <v>75</v>
      </c>
      <c r="N231" t="s">
        <v>76</v>
      </c>
      <c r="O231" t="s">
        <v>124</v>
      </c>
      <c r="P231" t="s">
        <v>233</v>
      </c>
    </row>
    <row r="232" spans="1:16">
      <c r="A232" s="22" t="s">
        <v>52</v>
      </c>
      <c r="B232" t="s">
        <v>53</v>
      </c>
      <c r="C232" t="s">
        <v>54</v>
      </c>
      <c r="N232" t="s">
        <v>55</v>
      </c>
      <c r="O232" t="s">
        <v>82</v>
      </c>
      <c r="P232">
        <v>0</v>
      </c>
    </row>
    <row r="233" spans="1:16">
      <c r="A233" s="22" t="s">
        <v>83</v>
      </c>
      <c r="B233" t="s">
        <v>84</v>
      </c>
      <c r="N233" t="s">
        <v>85</v>
      </c>
      <c r="O233" t="s">
        <v>86</v>
      </c>
      <c r="P233" t="s">
        <v>229</v>
      </c>
    </row>
    <row r="234" spans="1:16">
      <c r="A234" s="22" t="s">
        <v>56</v>
      </c>
      <c r="B234" t="s">
        <v>57</v>
      </c>
      <c r="N234" t="s">
        <v>87</v>
      </c>
    </row>
    <row r="235" spans="1:16">
      <c r="A235" s="21"/>
    </row>
    <row r="236" spans="1:16">
      <c r="A236" s="22" t="s">
        <v>58</v>
      </c>
      <c r="B236" t="s">
        <v>59</v>
      </c>
      <c r="D236" t="s">
        <v>56</v>
      </c>
      <c r="E236" t="s">
        <v>60</v>
      </c>
      <c r="F236" t="s">
        <v>61</v>
      </c>
      <c r="G236" t="s">
        <v>62</v>
      </c>
      <c r="H236" t="s">
        <v>63</v>
      </c>
      <c r="I236" t="s">
        <v>64</v>
      </c>
      <c r="J236" t="s">
        <v>65</v>
      </c>
      <c r="K236" t="s">
        <v>66</v>
      </c>
      <c r="L236" t="s">
        <v>67</v>
      </c>
      <c r="M236" t="s">
        <v>79</v>
      </c>
      <c r="N236" t="s">
        <v>80</v>
      </c>
      <c r="O236" t="s">
        <v>68</v>
      </c>
      <c r="P236" t="s">
        <v>56</v>
      </c>
    </row>
    <row r="237" spans="1:16">
      <c r="A237" s="22" t="s">
        <v>69</v>
      </c>
      <c r="B237" t="s">
        <v>70</v>
      </c>
      <c r="C237" t="s">
        <v>98</v>
      </c>
      <c r="D237" t="s">
        <v>72</v>
      </c>
      <c r="E237" t="s">
        <v>71</v>
      </c>
      <c r="F237" t="s">
        <v>71</v>
      </c>
      <c r="G237" t="s">
        <v>71</v>
      </c>
      <c r="H237" t="s">
        <v>71</v>
      </c>
      <c r="I237" t="s">
        <v>71</v>
      </c>
      <c r="J237" t="s">
        <v>71</v>
      </c>
      <c r="K237" t="s">
        <v>71</v>
      </c>
      <c r="L237" t="s">
        <v>71</v>
      </c>
      <c r="M237" t="s">
        <v>71</v>
      </c>
      <c r="N237" t="s">
        <v>71</v>
      </c>
      <c r="O237" t="s">
        <v>71</v>
      </c>
      <c r="P237" t="s">
        <v>71</v>
      </c>
    </row>
    <row r="238" spans="1:16">
      <c r="A238" s="21"/>
    </row>
    <row r="239" spans="1:16">
      <c r="A239" s="22"/>
      <c r="B239" t="s">
        <v>213</v>
      </c>
    </row>
    <row r="240" spans="1:16">
      <c r="A240" s="22">
        <v>306449</v>
      </c>
      <c r="B240" t="s">
        <v>214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</row>
    <row r="241" spans="1:16">
      <c r="A241" s="22">
        <v>402049</v>
      </c>
      <c r="B241" t="s">
        <v>215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</row>
    <row r="242" spans="1:16">
      <c r="A242" s="22">
        <v>64249</v>
      </c>
      <c r="B242" t="s">
        <v>216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</row>
    <row r="243" spans="1:16">
      <c r="A243" s="22"/>
      <c r="B243" t="s">
        <v>217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</row>
    <row r="244" spans="1:16">
      <c r="A244" s="22"/>
      <c r="B244" t="s">
        <v>218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</row>
    <row r="245" spans="1:16">
      <c r="A245" s="21"/>
    </row>
    <row r="246" spans="1:16">
      <c r="A246" s="22">
        <v>412049</v>
      </c>
      <c r="B246" t="s">
        <v>219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</row>
    <row r="247" spans="1:16">
      <c r="A247" s="22">
        <v>64349</v>
      </c>
      <c r="B247" t="s">
        <v>220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</row>
    <row r="248" spans="1:16">
      <c r="A248" s="22"/>
      <c r="B248" t="s">
        <v>221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</row>
    <row r="249" spans="1:16">
      <c r="A249" s="22"/>
      <c r="B249" t="s">
        <v>222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>
      <c r="A250" s="22"/>
      <c r="C250" t="s">
        <v>98</v>
      </c>
      <c r="D250" t="s">
        <v>88</v>
      </c>
      <c r="E250" t="s">
        <v>72</v>
      </c>
      <c r="F250" t="s">
        <v>72</v>
      </c>
      <c r="G250" t="s">
        <v>72</v>
      </c>
      <c r="H250" t="s">
        <v>72</v>
      </c>
      <c r="I250" t="s">
        <v>72</v>
      </c>
      <c r="J250" t="s">
        <v>72</v>
      </c>
      <c r="K250" t="s">
        <v>72</v>
      </c>
      <c r="L250" t="s">
        <v>72</v>
      </c>
      <c r="M250" t="s">
        <v>72</v>
      </c>
      <c r="N250" t="s">
        <v>72</v>
      </c>
      <c r="O250" t="s">
        <v>72</v>
      </c>
      <c r="P250" t="s">
        <v>72</v>
      </c>
    </row>
    <row r="251" spans="1:16">
      <c r="A251" s="22"/>
      <c r="B251" t="s">
        <v>8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</row>
    <row r="252" spans="1:16">
      <c r="A252" s="22"/>
      <c r="B252" t="s">
        <v>99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>
      <c r="A253" s="22"/>
      <c r="C253" t="s">
        <v>100</v>
      </c>
      <c r="D253" t="s">
        <v>101</v>
      </c>
      <c r="E253" t="s">
        <v>78</v>
      </c>
      <c r="F253" t="s">
        <v>78</v>
      </c>
      <c r="G253" t="s">
        <v>78</v>
      </c>
      <c r="H253" t="s">
        <v>78</v>
      </c>
      <c r="I253" t="s">
        <v>78</v>
      </c>
      <c r="J253" t="s">
        <v>78</v>
      </c>
      <c r="K253" t="s">
        <v>78</v>
      </c>
      <c r="L253" t="s">
        <v>78</v>
      </c>
      <c r="M253" t="s">
        <v>78</v>
      </c>
      <c r="N253" t="s">
        <v>78</v>
      </c>
      <c r="O253" t="s">
        <v>78</v>
      </c>
      <c r="P253" t="s">
        <v>78</v>
      </c>
    </row>
    <row r="254" spans="1:16">
      <c r="A254" s="21"/>
    </row>
    <row r="255" spans="1:16">
      <c r="A255" s="22"/>
      <c r="B255" t="s">
        <v>223</v>
      </c>
    </row>
    <row r="256" spans="1:16">
      <c r="A256" s="22"/>
      <c r="B256" t="s">
        <v>224</v>
      </c>
      <c r="D256" s="23">
        <v>8605</v>
      </c>
      <c r="E256" s="23">
        <v>8874</v>
      </c>
      <c r="F256" s="23">
        <v>8565</v>
      </c>
      <c r="G256" s="23">
        <v>8995</v>
      </c>
      <c r="H256" s="23">
        <v>8726</v>
      </c>
      <c r="I256" s="23">
        <v>8352</v>
      </c>
      <c r="J256" s="23">
        <v>8892</v>
      </c>
      <c r="K256" s="23">
        <v>9173</v>
      </c>
      <c r="L256" s="23">
        <v>7386</v>
      </c>
      <c r="M256" s="23">
        <v>8786</v>
      </c>
      <c r="N256" s="23">
        <v>9232</v>
      </c>
      <c r="O256" s="23">
        <v>7679</v>
      </c>
      <c r="P256" s="23">
        <v>9165</v>
      </c>
    </row>
    <row r="257" spans="1:16">
      <c r="A257" s="22"/>
      <c r="B257" t="s">
        <v>225</v>
      </c>
      <c r="D257" s="23">
        <v>9028</v>
      </c>
      <c r="E257" s="23">
        <v>9190</v>
      </c>
      <c r="F257" s="23">
        <v>8606</v>
      </c>
      <c r="G257" s="23">
        <v>9293</v>
      </c>
      <c r="H257" s="23">
        <v>9334</v>
      </c>
      <c r="I257" s="23">
        <v>8486</v>
      </c>
      <c r="J257" s="23">
        <v>8720</v>
      </c>
      <c r="K257" s="23">
        <v>8660</v>
      </c>
      <c r="L257" s="23">
        <v>7790</v>
      </c>
      <c r="M257" s="23">
        <v>9389</v>
      </c>
      <c r="N257" s="23">
        <v>9851</v>
      </c>
      <c r="O257" s="23">
        <v>8094</v>
      </c>
      <c r="P257" s="23">
        <v>9233</v>
      </c>
    </row>
    <row r="258" spans="1:16">
      <c r="A258" s="22"/>
      <c r="C258" t="s">
        <v>98</v>
      </c>
      <c r="D258" t="s">
        <v>88</v>
      </c>
      <c r="E258" t="s">
        <v>72</v>
      </c>
      <c r="F258" t="s">
        <v>72</v>
      </c>
      <c r="G258" t="s">
        <v>72</v>
      </c>
      <c r="H258" t="s">
        <v>72</v>
      </c>
      <c r="I258" t="s">
        <v>72</v>
      </c>
      <c r="J258" t="s">
        <v>72</v>
      </c>
      <c r="K258" t="s">
        <v>72</v>
      </c>
      <c r="L258" t="s">
        <v>72</v>
      </c>
      <c r="M258" t="s">
        <v>72</v>
      </c>
      <c r="N258" t="s">
        <v>72</v>
      </c>
      <c r="O258" t="s">
        <v>72</v>
      </c>
      <c r="P258" t="s">
        <v>72</v>
      </c>
    </row>
    <row r="259" spans="1:16">
      <c r="A259" s="22"/>
      <c r="B259" t="s">
        <v>226</v>
      </c>
      <c r="D259" s="23">
        <v>17634</v>
      </c>
      <c r="E259" s="23">
        <v>18065</v>
      </c>
      <c r="F259" s="23">
        <v>17171</v>
      </c>
      <c r="G259" s="23">
        <v>18288</v>
      </c>
      <c r="H259" s="23">
        <v>18060</v>
      </c>
      <c r="I259" s="23">
        <v>16839</v>
      </c>
      <c r="J259" s="23">
        <v>17612</v>
      </c>
      <c r="K259" s="23">
        <v>17833</v>
      </c>
      <c r="L259" s="23">
        <v>15176</v>
      </c>
      <c r="M259" s="23">
        <v>18175</v>
      </c>
      <c r="N259" s="23">
        <v>19083</v>
      </c>
      <c r="O259" s="23">
        <v>15774</v>
      </c>
      <c r="P259" s="23">
        <v>18398</v>
      </c>
    </row>
    <row r="260" spans="1:16">
      <c r="A260" s="22"/>
      <c r="B260" t="s">
        <v>227</v>
      </c>
      <c r="D260">
        <v>370</v>
      </c>
      <c r="E260">
        <v>386</v>
      </c>
      <c r="F260">
        <v>385</v>
      </c>
      <c r="G260">
        <v>375</v>
      </c>
      <c r="H260">
        <v>379</v>
      </c>
      <c r="I260">
        <v>375</v>
      </c>
      <c r="J260">
        <v>387</v>
      </c>
      <c r="K260">
        <v>399</v>
      </c>
      <c r="L260">
        <v>352</v>
      </c>
      <c r="M260">
        <v>378</v>
      </c>
      <c r="N260">
        <v>385</v>
      </c>
      <c r="O260">
        <v>361</v>
      </c>
      <c r="P260">
        <v>382</v>
      </c>
    </row>
    <row r="261" spans="1:16">
      <c r="A261" s="22"/>
      <c r="B261" t="s">
        <v>228</v>
      </c>
      <c r="D261">
        <v>388</v>
      </c>
      <c r="E261">
        <v>400</v>
      </c>
      <c r="F261">
        <v>387</v>
      </c>
      <c r="G261">
        <v>387</v>
      </c>
      <c r="H261">
        <v>406</v>
      </c>
      <c r="I261">
        <v>381</v>
      </c>
      <c r="J261">
        <v>379</v>
      </c>
      <c r="K261">
        <v>377</v>
      </c>
      <c r="L261">
        <v>371</v>
      </c>
      <c r="M261">
        <v>404</v>
      </c>
      <c r="N261">
        <v>410</v>
      </c>
      <c r="O261">
        <v>381</v>
      </c>
      <c r="P261">
        <v>385</v>
      </c>
    </row>
    <row r="262" spans="1:16">
      <c r="A262" s="22"/>
      <c r="B262" t="s">
        <v>77</v>
      </c>
      <c r="D262">
        <v>758</v>
      </c>
      <c r="E262">
        <v>785</v>
      </c>
      <c r="F262">
        <v>772</v>
      </c>
      <c r="G262">
        <v>762</v>
      </c>
      <c r="H262">
        <v>785</v>
      </c>
      <c r="I262">
        <v>757</v>
      </c>
      <c r="J262">
        <v>766</v>
      </c>
      <c r="K262">
        <v>775</v>
      </c>
      <c r="L262">
        <v>723</v>
      </c>
      <c r="M262">
        <v>782</v>
      </c>
      <c r="N262">
        <v>795</v>
      </c>
      <c r="O262">
        <v>742</v>
      </c>
      <c r="P262">
        <v>767</v>
      </c>
    </row>
  </sheetData>
  <pageMargins left="0.7" right="0.7" top="0.75" bottom="0.75" header="0.3" footer="0.3"/>
  <pageSetup paperSize="9" scale="70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2015-12-17T08:00:00+00:00</OpenedDate>
    <Date1 xmlns="dc463f71-b30c-4ab2-9473-d307f9d35888">2015-12-17T08:00:00+00:00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RABANCO LTD</CaseCompanyNames>
    <DocketNumber xmlns="dc463f71-b30c-4ab2-9473-d307f9d35888">152374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C148C9B088EE488F4B7CC2888951A4" ma:contentTypeVersion="119" ma:contentTypeDescription="" ma:contentTypeScope="" ma:versionID="44dd27bc7b71f139e08576a83cf8e6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F51C48B-51EC-416B-AD22-C3F0A0ACAA8E}"/>
</file>

<file path=customXml/itemProps2.xml><?xml version="1.0" encoding="utf-8"?>
<ds:datastoreItem xmlns:ds="http://schemas.openxmlformats.org/officeDocument/2006/customXml" ds:itemID="{DCEB95E4-67AE-4660-82B1-21141F8D1F13}"/>
</file>

<file path=customXml/itemProps3.xml><?xml version="1.0" encoding="utf-8"?>
<ds:datastoreItem xmlns:ds="http://schemas.openxmlformats.org/officeDocument/2006/customXml" ds:itemID="{3CE62BC4-35AA-44B3-8FF9-3DF9675148DE}"/>
</file>

<file path=customXml/itemProps4.xml><?xml version="1.0" encoding="utf-8"?>
<ds:datastoreItem xmlns:ds="http://schemas.openxmlformats.org/officeDocument/2006/customXml" ds:itemID="{D2DFFB5B-6ED1-47E1-8601-CA1AD46448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 Adjustment Summary</vt:lpstr>
      <vt:lpstr>4197 Tonnage</vt:lpstr>
      <vt:lpstr>Wage Summary</vt:lpstr>
      <vt:lpstr>Wage Details</vt:lpstr>
      <vt:lpstr>MRF Tonnage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Brenner, Alex</dc:creator>
  <cp:lastModifiedBy>Brenner, Alex</cp:lastModifiedBy>
  <cp:lastPrinted>2015-12-17T17:46:27Z</cp:lastPrinted>
  <dcterms:created xsi:type="dcterms:W3CDTF">2015-11-16T21:33:58Z</dcterms:created>
  <dcterms:modified xsi:type="dcterms:W3CDTF">2015-12-17T17:47:06Z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0x0101006E56B4D1795A2E4DB2F0B01679ED314A003BC148C9B088EE488F4B7CC2888951A4</vt:lpwstr>
  </property>
  <property fmtid="{D5CDD505-2E9C-101B-9397-08002B2CF9AE}" pid="3" name="_docset_NoMedatataSyncRequired">
    <vt:lpwstr>False</vt:lpwstr>
  </property>
</Properties>
</file>