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888" windowWidth="15180" windowHeight="7740" activeTab="0"/>
  </bookViews>
  <sheets>
    <sheet name="WUTC_AW of Lynnwood_MF" sheetId="1" r:id="rId1"/>
    <sheet name="Value" sheetId="2" r:id="rId2"/>
    <sheet name="Commodity Tonnages" sheetId="3" r:id="rId3"/>
    <sheet name="Pricing" sheetId="4" r:id="rId4"/>
    <sheet name="Multi_Family" sheetId="5" r:id="rId5"/>
  </sheets>
  <externalReferences>
    <externalReference r:id="rId8"/>
    <externalReference r:id="rId9"/>
  </externalReferences>
  <definedNames>
    <definedName name="_xlfn.IFERROR" hidden="1">#NAME?</definedName>
    <definedName name="color">#REF!</definedName>
    <definedName name="_xlnm.Print_Area" localSheetId="4">'Multi_Family'!$A$7:$N$102</definedName>
    <definedName name="_xlnm.Print_Area" localSheetId="3">'Pricing'!$A$1:$L$17</definedName>
    <definedName name="_xlnm.Print_Area" localSheetId="0">'WUTC_AW of Lynnwood_MF'!$A$1:$P$76</definedName>
    <definedName name="_xlnm.Print_Titles" localSheetId="4">'Multi_Family'!$A:$B,'Multi_Family'!$1:$6</definedName>
  </definedNames>
  <calcPr fullCalcOnLoad="1"/>
</workbook>
</file>

<file path=xl/comments1.xml><?xml version="1.0" encoding="utf-8"?>
<comments xmlns="http://schemas.openxmlformats.org/spreadsheetml/2006/main">
  <authors>
    <author>Vander Zalm, Connor</author>
    <author>Christensen, Abby Rose</author>
  </authors>
  <commentList>
    <comment ref="B14" authorId="0">
      <text>
        <r>
          <rPr>
            <b/>
            <sz val="9"/>
            <rFont val="Tahoma"/>
            <family val="2"/>
          </rPr>
          <t>Vander Zalm, Connor:</t>
        </r>
        <r>
          <rPr>
            <sz val="9"/>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 ref="B8" authorId="1">
      <text>
        <r>
          <rPr>
            <b/>
            <sz val="9"/>
            <rFont val="Tahoma"/>
            <family val="2"/>
          </rPr>
          <t>Christensen, Abby Rose:</t>
        </r>
        <r>
          <rPr>
            <sz val="9"/>
            <rFont val="Tahoma"/>
            <family val="2"/>
          </rPr>
          <t xml:space="preserve">
From EOM COM COUNTS counting MF MSW yards </t>
        </r>
      </text>
    </comment>
  </commentList>
</comments>
</file>

<file path=xl/comments5.xml><?xml version="1.0" encoding="utf-8"?>
<comments xmlns="http://schemas.openxmlformats.org/spreadsheetml/2006/main">
  <authors>
    <author>Alex Brenner</author>
    <author>Vander Zalm, Connor</author>
  </authors>
  <commentList>
    <comment ref="A12" authorId="0">
      <text>
        <r>
          <rPr>
            <b/>
            <sz val="8"/>
            <rFont val="Tahoma"/>
            <family val="2"/>
          </rPr>
          <t>Alex Brenner:</t>
        </r>
        <r>
          <rPr>
            <sz val="8"/>
            <rFont val="Tahoma"/>
            <family val="2"/>
          </rPr>
          <t xml:space="preserve">
From ESMMYYTONS Spreadsheet, 'Prices' tab (where MM=month, YY=Year)</t>
        </r>
      </text>
    </comment>
    <comment ref="C7" authorId="1">
      <text>
        <r>
          <rPr>
            <b/>
            <sz val="9"/>
            <rFont val="Tahoma"/>
            <family val="2"/>
          </rPr>
          <t>Vander Zalm, Connor:</t>
        </r>
        <r>
          <rPr>
            <sz val="9"/>
            <rFont val="Tahoma"/>
            <family val="2"/>
          </rPr>
          <t xml:space="preserve">
This Information comes from Debbie G's "Tons Master Files" which can be found in:
V:\Division\Accounting\2013\Accounts Receivable\County &amp; City Reporting (Shortcut in V:\District\Accounting\WUTC Files\RSA)
Then Choose the applicable location file, the "route split and tons" folder and then the month file. Within these files you will see a file called:
"Tons Master" for single family. Go to the "Tons" tab and sum all the recycle tonnage for each location that is subject to WUTC. Each area that is regulated by WUTC should be identified.
Customer Counts are totaled the exact same way by using the recyle customer counts just a few rows above the tonnage summation for each area.
this is also where Multifamily tons come from. go to tab "recycle tons" and scroll to mutlifamily tons. then sum the areas that are regulated by the WUTC.
"EOM Com counts" is where Multifamily yards are found. there is a tab labeled "multifamily yards." this tab will have yards data.
</t>
        </r>
      </text>
    </comment>
  </commentList>
</comments>
</file>

<file path=xl/sharedStrings.xml><?xml version="1.0" encoding="utf-8"?>
<sst xmlns="http://schemas.openxmlformats.org/spreadsheetml/2006/main" count="197" uniqueCount="92">
  <si>
    <t>Deferred Accounting Methodology</t>
  </si>
  <si>
    <t>Commodity</t>
  </si>
  <si>
    <t>Revenue</t>
  </si>
  <si>
    <t>Month</t>
  </si>
  <si>
    <t>(b1)</t>
  </si>
  <si>
    <t>(b2)</t>
  </si>
  <si>
    <t>(a)</t>
  </si>
  <si>
    <t>(c)</t>
  </si>
  <si>
    <t>(d)</t>
  </si>
  <si>
    <t>Commodity Gain/Loss Calculation</t>
  </si>
  <si>
    <t>Actual Commodity Revenues</t>
  </si>
  <si>
    <t xml:space="preserve">   Base Credits Billed</t>
  </si>
  <si>
    <t xml:space="preserve">      Total Base Credits Billed</t>
  </si>
  <si>
    <t>Excess Commodity Credits</t>
  </si>
  <si>
    <t>Total Annual Customers</t>
  </si>
  <si>
    <t>Alum</t>
  </si>
  <si>
    <t>Glass</t>
  </si>
  <si>
    <t>Tin/Iron</t>
  </si>
  <si>
    <t>ONP</t>
  </si>
  <si>
    <t>MWP</t>
  </si>
  <si>
    <t>Pet</t>
  </si>
  <si>
    <t>HDPE</t>
  </si>
  <si>
    <t>OCC</t>
  </si>
  <si>
    <t>Other</t>
  </si>
  <si>
    <t>Total</t>
  </si>
  <si>
    <t xml:space="preserve"> </t>
  </si>
  <si>
    <t xml:space="preserve">Total </t>
  </si>
  <si>
    <t>Glass (Cont)</t>
  </si>
  <si>
    <t>Commodity Value Timeframe:  October - September</t>
  </si>
  <si>
    <t>Total Tons</t>
  </si>
  <si>
    <t>Sorted Glass Percentage</t>
  </si>
  <si>
    <t>Sorted Glass</t>
  </si>
  <si>
    <t>Sampled Tons</t>
  </si>
  <si>
    <t>Sampling Percentages</t>
  </si>
  <si>
    <t>Magazines</t>
  </si>
  <si>
    <t>Tin</t>
  </si>
  <si>
    <t>Plastic</t>
  </si>
  <si>
    <t>Aluminum</t>
  </si>
  <si>
    <t>Ferris Metal</t>
  </si>
  <si>
    <t>Glass Contamination</t>
  </si>
  <si>
    <t>Trash</t>
  </si>
  <si>
    <t>Mixed Paper</t>
  </si>
  <si>
    <t>Sampled Tonnage</t>
  </si>
  <si>
    <t>Recovery Percentages</t>
  </si>
  <si>
    <t>Recovered Tonnages</t>
  </si>
  <si>
    <t xml:space="preserve">Product Sales Rates </t>
  </si>
  <si>
    <t>Product Value</t>
  </si>
  <si>
    <t>Total Value</t>
  </si>
  <si>
    <t>Value per Ton</t>
  </si>
  <si>
    <t>C</t>
  </si>
  <si>
    <t>D</t>
  </si>
  <si>
    <t>E</t>
  </si>
  <si>
    <t>F</t>
  </si>
  <si>
    <t>G</t>
  </si>
  <si>
    <t>H</t>
  </si>
  <si>
    <t>I</t>
  </si>
  <si>
    <t>J</t>
  </si>
  <si>
    <t>K</t>
  </si>
  <si>
    <t>L</t>
  </si>
  <si>
    <t>M</t>
  </si>
  <si>
    <t>N</t>
  </si>
  <si>
    <t>EastSide Disposal</t>
  </si>
  <si>
    <t>East Side Disposal</t>
  </si>
  <si>
    <t>Multi-Family</t>
  </si>
  <si>
    <t>Yards</t>
  </si>
  <si>
    <t>per Yard</t>
  </si>
  <si>
    <t>Total yards</t>
  </si>
  <si>
    <t>Monthly Base Credit per Yard</t>
  </si>
  <si>
    <t>Deficient Commodity Credits</t>
  </si>
  <si>
    <t>12 month running average "BASE CREDIT"</t>
  </si>
  <si>
    <t>.</t>
  </si>
  <si>
    <t>2008/2009 Monthly True-up Charge</t>
  </si>
  <si>
    <t>Rabanco Ltd (dba Allied Waste of Lynnwood)</t>
  </si>
  <si>
    <t>3.5x Compaction</t>
  </si>
  <si>
    <t>5x Compaction</t>
  </si>
  <si>
    <t>Total Additional Passback</t>
  </si>
  <si>
    <t>Single-Family Revenue</t>
  </si>
  <si>
    <t>Multi-Family Revenue</t>
  </si>
  <si>
    <t>Multi-Family Additional Passback</t>
  </si>
  <si>
    <t>Multi-Family Additional Credit</t>
  </si>
  <si>
    <t>TG-12______</t>
  </si>
  <si>
    <t>For use in Budget Calculation</t>
  </si>
  <si>
    <t>Total Trailing 12 Mo. Commodity Value / Customer</t>
  </si>
  <si>
    <t>Most recent Total # of Customers</t>
  </si>
  <si>
    <t>Base Credit to be Passed Back</t>
  </si>
  <si>
    <t>% of Revenue Passed Back</t>
  </si>
  <si>
    <t>Budget total Revenue</t>
  </si>
  <si>
    <t>Budget Revenue Passed Back</t>
  </si>
  <si>
    <t>Prior Plan B Total</t>
  </si>
  <si>
    <t>Plan A Total</t>
  </si>
  <si>
    <t>Retained</t>
  </si>
  <si>
    <t>% Passed Back</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</si>
</sst>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 #,##0.00_);_(* \(#,##0.00\);_(* &quot;-&quot;_);_(@_)"/>
    <numFmt numFmtId="167" formatCode="_(* #,##0.000_);_(* \(#,##0.000\);_(* &quot;-&quot;_);_(@_)"/>
    <numFmt numFmtId="168" formatCode="mmmm"/>
    <numFmt numFmtId="169" formatCode="#,##0.000"/>
    <numFmt numFmtId="170" formatCode="#,##0.0000"/>
    <numFmt numFmtId="171" formatCode="_(&quot;$&quot;* #,##0_);_(&quot;$&quot;* \(#,##0\);_(&quot;$&quot;* &quot;-&quot;??_);_(@_)"/>
    <numFmt numFmtId="172" formatCode="_(* #,##0.000_);_(* \(#,##0.000\);_(* &quot;-&quot;???_);_(@_)"/>
    <numFmt numFmtId="173" formatCode="_(* #,##0.0_);_(* \(#,##0.0\);_(* &quot;-&quot;??_);_(@_)"/>
    <numFmt numFmtId="174" formatCode="_(* #,##0.0000_);_(* \(#,##0.0000\);_(* &quot;-&quot;_);_(@_)"/>
    <numFmt numFmtId="175" formatCode="0.0%"/>
  </numFmts>
  <fonts count="54">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10"/>
      <name val="MS Sans Serif"/>
      <family val="2"/>
    </font>
    <font>
      <sz val="8"/>
      <name val="Arial"/>
      <family val="2"/>
    </font>
    <font>
      <sz val="8"/>
      <name val="Helv"/>
      <family val="0"/>
    </font>
    <font>
      <b/>
      <sz val="8"/>
      <name val="Arial"/>
      <family val="2"/>
    </font>
    <font>
      <u val="single"/>
      <sz val="8"/>
      <name val="Arial"/>
      <family val="2"/>
    </font>
    <font>
      <b/>
      <u val="single"/>
      <sz val="8"/>
      <name val="Arial"/>
      <family val="2"/>
    </font>
    <font>
      <sz val="8"/>
      <color indexed="12"/>
      <name val="Arial"/>
      <family val="2"/>
    </font>
    <font>
      <i/>
      <sz val="8"/>
      <name val="Arial"/>
      <family val="2"/>
    </font>
    <font>
      <b/>
      <sz val="8"/>
      <name val="Tahoma"/>
      <family val="2"/>
    </font>
    <font>
      <sz val="8"/>
      <name val="Tahoma"/>
      <family val="2"/>
    </font>
    <font>
      <b/>
      <i/>
      <sz val="8"/>
      <name val="Arial"/>
      <family val="2"/>
    </font>
    <font>
      <i/>
      <sz val="8"/>
      <color indexed="12"/>
      <name val="Arial"/>
      <family val="2"/>
    </font>
    <font>
      <b/>
      <sz val="9"/>
      <name val="Tahoma"/>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rgb="FF92D05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6"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55">
    <xf numFmtId="0" fontId="0" fillId="0" borderId="0" xfId="0" applyAlignment="1">
      <alignment/>
    </xf>
    <xf numFmtId="0" fontId="1" fillId="0" borderId="0" xfId="57" applyFont="1">
      <alignment/>
      <protection/>
    </xf>
    <xf numFmtId="0" fontId="7" fillId="0" borderId="0" xfId="57" applyFont="1">
      <alignment/>
      <protection/>
    </xf>
    <xf numFmtId="0" fontId="7" fillId="0" borderId="0" xfId="57" applyFont="1" applyAlignment="1">
      <alignment horizontal="center"/>
      <protection/>
    </xf>
    <xf numFmtId="0" fontId="8" fillId="0" borderId="0" xfId="57" applyFont="1" applyAlignment="1">
      <alignment horizontal="center"/>
      <protection/>
    </xf>
    <xf numFmtId="0" fontId="6" fillId="0" borderId="0" xfId="57">
      <alignment/>
      <protection/>
    </xf>
    <xf numFmtId="0" fontId="9" fillId="0" borderId="0" xfId="57" applyFont="1">
      <alignment/>
      <protection/>
    </xf>
    <xf numFmtId="14" fontId="7" fillId="0" borderId="0" xfId="57" applyNumberFormat="1" applyFont="1" applyAlignment="1">
      <alignment horizontal="center"/>
      <protection/>
    </xf>
    <xf numFmtId="0" fontId="10" fillId="0" borderId="0" xfId="57" applyFont="1">
      <alignment/>
      <protection/>
    </xf>
    <xf numFmtId="0" fontId="11" fillId="0" borderId="0" xfId="57" applyFont="1">
      <alignment/>
      <protection/>
    </xf>
    <xf numFmtId="0" fontId="11" fillId="0" borderId="0" xfId="57" applyFont="1" applyAlignment="1">
      <alignment horizontal="center"/>
      <protection/>
    </xf>
    <xf numFmtId="0" fontId="9" fillId="0" borderId="0" xfId="57" applyFont="1" applyAlignment="1">
      <alignment horizontal="center"/>
      <protection/>
    </xf>
    <xf numFmtId="166" fontId="9" fillId="0" borderId="0" xfId="57" applyNumberFormat="1" applyFont="1" applyAlignment="1">
      <alignment horizontal="center"/>
      <protection/>
    </xf>
    <xf numFmtId="1" fontId="7" fillId="0" borderId="0" xfId="57" applyNumberFormat="1" applyFont="1">
      <alignment/>
      <protection/>
    </xf>
    <xf numFmtId="41" fontId="7" fillId="0" borderId="0" xfId="57" applyNumberFormat="1" applyFont="1">
      <alignment/>
      <protection/>
    </xf>
    <xf numFmtId="166" fontId="9" fillId="0" borderId="0" xfId="57" applyNumberFormat="1" applyFont="1">
      <alignment/>
      <protection/>
    </xf>
    <xf numFmtId="166" fontId="7" fillId="0" borderId="0" xfId="57" applyNumberFormat="1" applyFont="1">
      <alignment/>
      <protection/>
    </xf>
    <xf numFmtId="168" fontId="7" fillId="0" borderId="0" xfId="57" applyNumberFormat="1" applyFont="1" applyAlignment="1">
      <alignment horizontal="right"/>
      <protection/>
    </xf>
    <xf numFmtId="41" fontId="12" fillId="0" borderId="0" xfId="57" applyNumberFormat="1" applyFont="1">
      <alignment/>
      <protection/>
    </xf>
    <xf numFmtId="41" fontId="13" fillId="0" borderId="0" xfId="57" applyNumberFormat="1" applyFont="1" applyAlignment="1">
      <alignment horizontal="left"/>
      <protection/>
    </xf>
    <xf numFmtId="41" fontId="7" fillId="0" borderId="10" xfId="57" applyNumberFormat="1" applyFont="1" applyBorder="1">
      <alignment/>
      <protection/>
    </xf>
    <xf numFmtId="166" fontId="7" fillId="0" borderId="10" xfId="57" applyNumberFormat="1" applyFont="1" applyBorder="1">
      <alignment/>
      <protection/>
    </xf>
    <xf numFmtId="167" fontId="7" fillId="0" borderId="0" xfId="57" applyNumberFormat="1" applyFont="1">
      <alignment/>
      <protection/>
    </xf>
    <xf numFmtId="166" fontId="6" fillId="0" borderId="0" xfId="57" applyNumberFormat="1">
      <alignment/>
      <protection/>
    </xf>
    <xf numFmtId="168" fontId="7" fillId="0" borderId="0" xfId="57" applyNumberFormat="1" applyFont="1">
      <alignment/>
      <protection/>
    </xf>
    <xf numFmtId="41" fontId="7" fillId="0" borderId="11" xfId="57" applyNumberFormat="1" applyFont="1" applyBorder="1">
      <alignment/>
      <protection/>
    </xf>
    <xf numFmtId="166" fontId="7" fillId="0" borderId="11" xfId="57" applyNumberFormat="1" applyFont="1" applyBorder="1">
      <alignment/>
      <protection/>
    </xf>
    <xf numFmtId="41" fontId="9" fillId="0" borderId="12" xfId="57" applyNumberFormat="1" applyFont="1" applyBorder="1">
      <alignment/>
      <protection/>
    </xf>
    <xf numFmtId="41" fontId="7" fillId="0" borderId="12" xfId="57" applyNumberFormat="1" applyFont="1" applyBorder="1">
      <alignment/>
      <protection/>
    </xf>
    <xf numFmtId="41" fontId="10" fillId="0" borderId="0" xfId="57" applyNumberFormat="1" applyFont="1">
      <alignment/>
      <protection/>
    </xf>
    <xf numFmtId="41" fontId="7" fillId="0" borderId="0" xfId="57" applyNumberFormat="1" applyFont="1" applyAlignment="1">
      <alignment horizontal="right"/>
      <protection/>
    </xf>
    <xf numFmtId="1" fontId="10" fillId="0" borderId="0" xfId="57" applyNumberFormat="1" applyFont="1">
      <alignment/>
      <protection/>
    </xf>
    <xf numFmtId="167" fontId="12" fillId="0" borderId="0" xfId="57" applyNumberFormat="1" applyFont="1">
      <alignment/>
      <protection/>
    </xf>
    <xf numFmtId="41" fontId="7" fillId="0" borderId="0" xfId="57" applyNumberFormat="1" applyFont="1" applyBorder="1">
      <alignment/>
      <protection/>
    </xf>
    <xf numFmtId="41" fontId="7" fillId="0" borderId="13" xfId="57" applyNumberFormat="1" applyFont="1" applyBorder="1">
      <alignment/>
      <protection/>
    </xf>
    <xf numFmtId="41" fontId="7" fillId="0" borderId="14" xfId="57" applyNumberFormat="1" applyFont="1" applyBorder="1">
      <alignment/>
      <protection/>
    </xf>
    <xf numFmtId="41" fontId="7" fillId="0" borderId="15" xfId="57" applyNumberFormat="1" applyFont="1" applyBorder="1">
      <alignment/>
      <protection/>
    </xf>
    <xf numFmtId="167" fontId="7" fillId="0" borderId="11" xfId="57" applyNumberFormat="1" applyFont="1" applyBorder="1">
      <alignment/>
      <protection/>
    </xf>
    <xf numFmtId="166" fontId="7" fillId="0" borderId="0" xfId="57" applyNumberFormat="1" applyFont="1" applyAlignment="1">
      <alignment horizontal="centerContinuous"/>
      <protection/>
    </xf>
    <xf numFmtId="166" fontId="7" fillId="0" borderId="13" xfId="57" applyNumberFormat="1" applyFont="1" applyBorder="1">
      <alignment/>
      <protection/>
    </xf>
    <xf numFmtId="166" fontId="7" fillId="0" borderId="15" xfId="57" applyNumberFormat="1" applyFont="1" applyBorder="1">
      <alignment/>
      <protection/>
    </xf>
    <xf numFmtId="2" fontId="6" fillId="0" borderId="0" xfId="57" applyNumberFormat="1">
      <alignment/>
      <protection/>
    </xf>
    <xf numFmtId="0" fontId="1"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17" fontId="0" fillId="0" borderId="0" xfId="0" applyNumberFormat="1" applyBorder="1" applyAlignment="1">
      <alignment/>
    </xf>
    <xf numFmtId="17" fontId="1" fillId="0" borderId="0" xfId="0" applyNumberFormat="1" applyFont="1" applyAlignment="1">
      <alignment horizontal="center"/>
    </xf>
    <xf numFmtId="169" fontId="0" fillId="0" borderId="0" xfId="0" applyNumberFormat="1" applyBorder="1" applyAlignment="1">
      <alignment/>
    </xf>
    <xf numFmtId="169" fontId="0" fillId="0" borderId="0" xfId="0" applyNumberFormat="1" applyAlignment="1">
      <alignment/>
    </xf>
    <xf numFmtId="169" fontId="1" fillId="0" borderId="0" xfId="0" applyNumberFormat="1" applyFont="1" applyAlignment="1">
      <alignment horizontal="center"/>
    </xf>
    <xf numFmtId="17" fontId="7"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2" fontId="0" fillId="0" borderId="0" xfId="0" applyNumberFormat="1" applyAlignment="1">
      <alignment/>
    </xf>
    <xf numFmtId="0" fontId="7" fillId="0" borderId="0" xfId="0" applyFont="1" applyAlignment="1">
      <alignment horizontal="center"/>
    </xf>
    <xf numFmtId="17" fontId="0" fillId="0" borderId="0" xfId="0" applyNumberFormat="1" applyAlignment="1">
      <alignment/>
    </xf>
    <xf numFmtId="4" fontId="7" fillId="0" borderId="0" xfId="0" applyNumberFormat="1" applyFont="1" applyAlignment="1">
      <alignment/>
    </xf>
    <xf numFmtId="4" fontId="0" fillId="0" borderId="0" xfId="0" applyNumberFormat="1" applyAlignment="1">
      <alignment/>
    </xf>
    <xf numFmtId="4" fontId="1" fillId="0" borderId="0" xfId="0" applyNumberFormat="1" applyFont="1" applyAlignment="1">
      <alignment horizontal="center"/>
    </xf>
    <xf numFmtId="9" fontId="0" fillId="0" borderId="0" xfId="60" applyAlignment="1">
      <alignment/>
    </xf>
    <xf numFmtId="40" fontId="7" fillId="0" borderId="0" xfId="0" applyNumberFormat="1" applyFont="1" applyAlignment="1">
      <alignment/>
    </xf>
    <xf numFmtId="43" fontId="7" fillId="0" borderId="0" xfId="42" applyFont="1" applyAlignment="1">
      <alignment/>
    </xf>
    <xf numFmtId="164" fontId="0" fillId="0" borderId="0" xfId="42" applyNumberFormat="1" applyFont="1" applyAlignment="1">
      <alignment/>
    </xf>
    <xf numFmtId="170" fontId="0" fillId="0" borderId="0" xfId="0" applyNumberFormat="1" applyAlignment="1">
      <alignment/>
    </xf>
    <xf numFmtId="165" fontId="0" fillId="0" borderId="0" xfId="60" applyNumberFormat="1" applyFont="1" applyAlignment="1">
      <alignment/>
    </xf>
    <xf numFmtId="0" fontId="9" fillId="0" borderId="0" xfId="0" applyFont="1" applyAlignment="1">
      <alignment/>
    </xf>
    <xf numFmtId="0" fontId="7" fillId="0" borderId="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centerContinuous"/>
    </xf>
    <xf numFmtId="17" fontId="7" fillId="0" borderId="0" xfId="0" applyNumberFormat="1" applyFont="1" applyFill="1" applyBorder="1" applyAlignment="1">
      <alignment horizontal="center"/>
    </xf>
    <xf numFmtId="2" fontId="9" fillId="0" borderId="0" xfId="0" applyNumberFormat="1" applyFont="1" applyAlignment="1">
      <alignment/>
    </xf>
    <xf numFmtId="9" fontId="7" fillId="0" borderId="0" xfId="60" applyFont="1" applyFill="1" applyAlignment="1">
      <alignment/>
    </xf>
    <xf numFmtId="43" fontId="7" fillId="0" borderId="14" xfId="42" applyFont="1" applyBorder="1" applyAlignment="1">
      <alignment/>
    </xf>
    <xf numFmtId="43" fontId="7" fillId="0" borderId="0" xfId="0" applyNumberFormat="1" applyFont="1" applyAlignment="1">
      <alignment/>
    </xf>
    <xf numFmtId="0" fontId="7" fillId="0" borderId="0" xfId="0" applyFont="1" applyFill="1" applyAlignment="1">
      <alignment/>
    </xf>
    <xf numFmtId="10" fontId="7" fillId="0" borderId="0" xfId="60" applyNumberFormat="1" applyFont="1" applyAlignment="1">
      <alignment/>
    </xf>
    <xf numFmtId="10" fontId="9" fillId="33" borderId="0" xfId="60" applyNumberFormat="1" applyFont="1" applyFill="1" applyAlignment="1">
      <alignment/>
    </xf>
    <xf numFmtId="9" fontId="7" fillId="0" borderId="0" xfId="60" applyFont="1" applyAlignment="1">
      <alignment/>
    </xf>
    <xf numFmtId="43" fontId="7" fillId="0" borderId="0" xfId="42" applyNumberFormat="1" applyFont="1" applyAlignment="1">
      <alignment/>
    </xf>
    <xf numFmtId="0" fontId="9" fillId="0" borderId="0" xfId="0" applyFont="1" applyAlignment="1" quotePrefix="1">
      <alignment horizontal="left"/>
    </xf>
    <xf numFmtId="44" fontId="7" fillId="0" borderId="0" xfId="44" applyFont="1" applyAlignment="1">
      <alignment/>
    </xf>
    <xf numFmtId="44" fontId="7" fillId="0" borderId="14" xfId="44" applyFont="1" applyBorder="1" applyAlignment="1">
      <alignment/>
    </xf>
    <xf numFmtId="44" fontId="9" fillId="0" borderId="0" xfId="44" applyFont="1" applyBorder="1" applyAlignment="1">
      <alignment/>
    </xf>
    <xf numFmtId="43" fontId="9" fillId="0" borderId="0" xfId="42" applyFont="1" applyBorder="1" applyAlignment="1">
      <alignment/>
    </xf>
    <xf numFmtId="44" fontId="7" fillId="0" borderId="0" xfId="44" applyFont="1" applyBorder="1" applyAlignment="1">
      <alignment/>
    </xf>
    <xf numFmtId="0" fontId="7" fillId="0" borderId="0" xfId="0" applyFont="1" applyBorder="1" applyAlignment="1">
      <alignment/>
    </xf>
    <xf numFmtId="44" fontId="9" fillId="0" borderId="0" xfId="0" applyNumberFormat="1" applyFont="1" applyBorder="1" applyAlignment="1">
      <alignment/>
    </xf>
    <xf numFmtId="44" fontId="7" fillId="0" borderId="0" xfId="44" applyNumberFormat="1" applyFont="1" applyBorder="1" applyAlignment="1">
      <alignment/>
    </xf>
    <xf numFmtId="43" fontId="7" fillId="0" borderId="0" xfId="42" applyFont="1" applyAlignment="1" quotePrefix="1">
      <alignment/>
    </xf>
    <xf numFmtId="43" fontId="7" fillId="0" borderId="0" xfId="42" applyNumberFormat="1" applyFont="1" applyAlignment="1" quotePrefix="1">
      <alignment/>
    </xf>
    <xf numFmtId="43" fontId="9" fillId="0" borderId="13" xfId="42" applyFont="1" applyBorder="1" applyAlignment="1">
      <alignment/>
    </xf>
    <xf numFmtId="44" fontId="7" fillId="0" borderId="0" xfId="0" applyNumberFormat="1" applyFont="1" applyAlignment="1">
      <alignment/>
    </xf>
    <xf numFmtId="41" fontId="12" fillId="0" borderId="0" xfId="57" applyNumberFormat="1" applyFont="1" applyAlignment="1">
      <alignment horizontal="center"/>
      <protection/>
    </xf>
    <xf numFmtId="43" fontId="12" fillId="0" borderId="0" xfId="42" applyFont="1" applyAlignment="1">
      <alignment horizontal="center"/>
    </xf>
    <xf numFmtId="166" fontId="7" fillId="0" borderId="0" xfId="57" applyNumberFormat="1" applyFont="1" applyBorder="1">
      <alignment/>
      <protection/>
    </xf>
    <xf numFmtId="0" fontId="11" fillId="0" borderId="0" xfId="57" applyFont="1" applyBorder="1">
      <alignment/>
      <protection/>
    </xf>
    <xf numFmtId="0" fontId="11" fillId="0" borderId="0" xfId="57" applyFont="1" applyBorder="1" applyAlignment="1">
      <alignment horizontal="center"/>
      <protection/>
    </xf>
    <xf numFmtId="0" fontId="9" fillId="0" borderId="0" xfId="57" applyFont="1" applyBorder="1" applyAlignment="1">
      <alignment horizontal="center"/>
      <protection/>
    </xf>
    <xf numFmtId="166" fontId="9" fillId="0" borderId="0" xfId="57" applyNumberFormat="1" applyFont="1" applyBorder="1" applyAlignment="1">
      <alignment horizontal="center"/>
      <protection/>
    </xf>
    <xf numFmtId="166" fontId="9" fillId="0" borderId="0" xfId="57" applyNumberFormat="1" applyFont="1" applyBorder="1">
      <alignment/>
      <protection/>
    </xf>
    <xf numFmtId="166" fontId="7" fillId="0" borderId="0" xfId="57" applyNumberFormat="1" applyFont="1" applyBorder="1" applyAlignment="1">
      <alignment horizontal="right"/>
      <protection/>
    </xf>
    <xf numFmtId="41" fontId="12" fillId="0" borderId="0" xfId="57" applyNumberFormat="1" applyFont="1" applyBorder="1" applyAlignment="1">
      <alignment horizontal="center"/>
      <protection/>
    </xf>
    <xf numFmtId="43" fontId="7" fillId="0" borderId="0" xfId="42" applyFont="1" applyBorder="1" applyAlignment="1">
      <alignment horizontal="center"/>
    </xf>
    <xf numFmtId="168" fontId="7" fillId="0" borderId="0" xfId="57" applyNumberFormat="1" applyFont="1" applyBorder="1" applyAlignment="1">
      <alignment horizontal="right"/>
      <protection/>
    </xf>
    <xf numFmtId="41" fontId="12" fillId="0" borderId="0" xfId="57" applyNumberFormat="1" applyFont="1" applyBorder="1">
      <alignment/>
      <protection/>
    </xf>
    <xf numFmtId="41" fontId="13" fillId="0" borderId="0" xfId="57" applyNumberFormat="1" applyFont="1" applyBorder="1" applyAlignment="1">
      <alignment horizontal="left"/>
      <protection/>
    </xf>
    <xf numFmtId="0" fontId="6" fillId="0" borderId="0" xfId="57" applyBorder="1">
      <alignment/>
      <protection/>
    </xf>
    <xf numFmtId="166" fontId="6" fillId="0" borderId="0" xfId="57" applyNumberFormat="1" applyBorder="1">
      <alignment/>
      <protection/>
    </xf>
    <xf numFmtId="168" fontId="7" fillId="0" borderId="0" xfId="57" applyNumberFormat="1" applyFont="1" applyBorder="1">
      <alignment/>
      <protection/>
    </xf>
    <xf numFmtId="167" fontId="7" fillId="0" borderId="0" xfId="57" applyNumberFormat="1" applyFont="1" applyBorder="1">
      <alignment/>
      <protection/>
    </xf>
    <xf numFmtId="17" fontId="7" fillId="34" borderId="0" xfId="0" applyNumberFormat="1" applyFont="1" applyFill="1" applyBorder="1" applyAlignment="1">
      <alignment horizontal="center"/>
    </xf>
    <xf numFmtId="2" fontId="9" fillId="34" borderId="0" xfId="0" applyNumberFormat="1" applyFont="1" applyFill="1" applyBorder="1" applyAlignment="1">
      <alignment/>
    </xf>
    <xf numFmtId="10" fontId="7" fillId="34" borderId="0" xfId="0" applyNumberFormat="1" applyFont="1" applyFill="1" applyAlignment="1">
      <alignment/>
    </xf>
    <xf numFmtId="10" fontId="7" fillId="34" borderId="0" xfId="60" applyNumberFormat="1" applyFont="1" applyFill="1" applyAlignment="1">
      <alignment/>
    </xf>
    <xf numFmtId="44" fontId="7" fillId="34" borderId="16" xfId="44" applyFont="1" applyFill="1" applyBorder="1" applyAlignment="1">
      <alignment/>
    </xf>
    <xf numFmtId="17" fontId="7" fillId="0" borderId="0" xfId="0" applyNumberFormat="1" applyFont="1" applyFill="1" applyAlignment="1">
      <alignment/>
    </xf>
    <xf numFmtId="43" fontId="9" fillId="0" borderId="0" xfId="42" applyFont="1" applyAlignment="1">
      <alignment/>
    </xf>
    <xf numFmtId="0" fontId="7" fillId="0" borderId="0" xfId="0" applyFont="1" applyBorder="1" applyAlignment="1">
      <alignment/>
    </xf>
    <xf numFmtId="0" fontId="9" fillId="0" borderId="0" xfId="0" applyFont="1" applyFill="1" applyBorder="1" applyAlignment="1">
      <alignment/>
    </xf>
    <xf numFmtId="17" fontId="7" fillId="0" borderId="0" xfId="0" applyNumberFormat="1" applyFont="1" applyAlignment="1">
      <alignment/>
    </xf>
    <xf numFmtId="0" fontId="7" fillId="0" borderId="0" xfId="0" applyFont="1" applyAlignment="1">
      <alignment/>
    </xf>
    <xf numFmtId="166" fontId="7" fillId="0" borderId="0" xfId="57" applyNumberFormat="1" applyFont="1" applyAlignment="1">
      <alignment horizontal="right"/>
      <protection/>
    </xf>
    <xf numFmtId="168" fontId="7" fillId="0" borderId="0" xfId="57" applyNumberFormat="1" applyFont="1" applyFill="1" applyAlignment="1">
      <alignment horizontal="right"/>
      <protection/>
    </xf>
    <xf numFmtId="4" fontId="7" fillId="0" borderId="10" xfId="0" applyNumberFormat="1" applyFont="1" applyBorder="1" applyAlignment="1">
      <alignment/>
    </xf>
    <xf numFmtId="40" fontId="7" fillId="0" borderId="10" xfId="0" applyNumberFormat="1" applyFont="1" applyBorder="1" applyAlignment="1">
      <alignment/>
    </xf>
    <xf numFmtId="43" fontId="7" fillId="0" borderId="10" xfId="42" applyNumberFormat="1" applyFont="1" applyBorder="1" applyAlignment="1">
      <alignment/>
    </xf>
    <xf numFmtId="40" fontId="9" fillId="0" borderId="0" xfId="0" applyNumberFormat="1" applyFont="1" applyAlignment="1">
      <alignment/>
    </xf>
    <xf numFmtId="4" fontId="9" fillId="0" borderId="10" xfId="0" applyNumberFormat="1" applyFont="1" applyBorder="1" applyAlignment="1">
      <alignment/>
    </xf>
    <xf numFmtId="43" fontId="7" fillId="0" borderId="10" xfId="42" applyFont="1" applyBorder="1" applyAlignment="1">
      <alignment/>
    </xf>
    <xf numFmtId="43" fontId="9" fillId="0" borderId="10" xfId="42" applyFont="1" applyBorder="1" applyAlignment="1">
      <alignment/>
    </xf>
    <xf numFmtId="8" fontId="7" fillId="0" borderId="0" xfId="44" applyNumberFormat="1" applyFont="1" applyAlignment="1" quotePrefix="1">
      <alignment/>
    </xf>
    <xf numFmtId="8" fontId="7" fillId="0" borderId="0" xfId="44" applyNumberFormat="1" applyFont="1" applyFill="1" applyAlignment="1" quotePrefix="1">
      <alignment/>
    </xf>
    <xf numFmtId="171" fontId="7" fillId="0" borderId="0" xfId="44" applyNumberFormat="1" applyFont="1" applyAlignment="1">
      <alignment/>
    </xf>
    <xf numFmtId="164" fontId="7" fillId="0" borderId="0" xfId="57" applyNumberFormat="1" applyFont="1">
      <alignment/>
      <protection/>
    </xf>
    <xf numFmtId="175" fontId="1" fillId="0" borderId="0" xfId="60" applyNumberFormat="1" applyFont="1" applyAlignment="1">
      <alignment/>
    </xf>
    <xf numFmtId="0" fontId="16" fillId="0" borderId="17" xfId="57" applyFont="1" applyBorder="1" applyAlignment="1">
      <alignment horizontal="center"/>
      <protection/>
    </xf>
    <xf numFmtId="0" fontId="7" fillId="0" borderId="0" xfId="57" applyFont="1" applyBorder="1">
      <alignment/>
      <protection/>
    </xf>
    <xf numFmtId="166" fontId="16" fillId="0" borderId="18" xfId="57" applyNumberFormat="1" applyFont="1" applyBorder="1" applyAlignment="1">
      <alignment horizontal="center"/>
      <protection/>
    </xf>
    <xf numFmtId="166" fontId="17" fillId="0" borderId="18" xfId="57" applyNumberFormat="1" applyFont="1" applyFill="1" applyBorder="1" applyAlignment="1">
      <alignment horizontal="center"/>
      <protection/>
    </xf>
    <xf numFmtId="41" fontId="13" fillId="0" borderId="18" xfId="57" applyNumberFormat="1" applyFont="1" applyBorder="1">
      <alignment/>
      <protection/>
    </xf>
    <xf numFmtId="167" fontId="9" fillId="0" borderId="18" xfId="57" applyNumberFormat="1" applyFont="1" applyBorder="1">
      <alignment/>
      <protection/>
    </xf>
    <xf numFmtId="166" fontId="7" fillId="35" borderId="0" xfId="57" applyNumberFormat="1" applyFont="1" applyFill="1">
      <alignment/>
      <protection/>
    </xf>
    <xf numFmtId="166" fontId="7" fillId="35" borderId="15" xfId="57" applyNumberFormat="1" applyFont="1" applyFill="1" applyBorder="1">
      <alignment/>
      <protection/>
    </xf>
    <xf numFmtId="175" fontId="7" fillId="0" borderId="0" xfId="60" applyNumberFormat="1" applyFont="1" applyAlignment="1">
      <alignment/>
    </xf>
    <xf numFmtId="175" fontId="7" fillId="35" borderId="16" xfId="60" applyNumberFormat="1" applyFont="1" applyFill="1" applyBorder="1" applyAlignment="1">
      <alignment/>
    </xf>
    <xf numFmtId="167" fontId="7" fillId="36" borderId="11" xfId="57" applyNumberFormat="1" applyFont="1" applyFill="1" applyBorder="1">
      <alignment/>
      <protection/>
    </xf>
    <xf numFmtId="171" fontId="7" fillId="32" borderId="7" xfId="58" applyNumberFormat="1" applyFont="1" applyAlignment="1">
      <alignment/>
    </xf>
    <xf numFmtId="166" fontId="7" fillId="36" borderId="0" xfId="57" applyNumberFormat="1" applyFont="1" applyFill="1">
      <alignment/>
      <protection/>
    </xf>
    <xf numFmtId="17" fontId="1" fillId="0" borderId="0" xfId="0" applyNumberFormat="1" applyFont="1" applyAlignment="1">
      <alignment horizontal="right"/>
    </xf>
    <xf numFmtId="175" fontId="0" fillId="0" borderId="0" xfId="60" applyNumberFormat="1" applyAlignment="1">
      <alignment horizontal="center"/>
    </xf>
    <xf numFmtId="4" fontId="7" fillId="32" borderId="7" xfId="58" applyNumberFormat="1" applyFont="1" applyAlignment="1">
      <alignment/>
    </xf>
    <xf numFmtId="9" fontId="0" fillId="0" borderId="0" xfId="60" applyBorder="1" applyAlignment="1">
      <alignment/>
    </xf>
    <xf numFmtId="7" fontId="0" fillId="0" borderId="0" xfId="44" applyNumberFormat="1" applyBorder="1" applyAlignment="1">
      <alignment/>
    </xf>
    <xf numFmtId="44" fontId="7" fillId="34" borderId="16" xfId="44" applyFont="1" applyFill="1" applyBorder="1" applyAlignment="1">
      <alignment horizontal="center"/>
    </xf>
    <xf numFmtId="41" fontId="7" fillId="36" borderId="19" xfId="57" applyNumberFormat="1" applyFont="1" applyFill="1" applyBorder="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98REC_CR"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29</xdr:row>
      <xdr:rowOff>0</xdr:rowOff>
    </xdr:from>
    <xdr:to>
      <xdr:col>11</xdr:col>
      <xdr:colOff>9525</xdr:colOff>
      <xdr:row>29</xdr:row>
      <xdr:rowOff>9525</xdr:rowOff>
    </xdr:to>
    <xdr:pic>
      <xdr:nvPicPr>
        <xdr:cNvPr id="1" name="Picture 1"/>
        <xdr:cNvPicPr preferRelativeResize="1">
          <a:picLocks noChangeAspect="1"/>
        </xdr:cNvPicPr>
      </xdr:nvPicPr>
      <xdr:blipFill>
        <a:blip r:embed="rId1"/>
        <a:stretch>
          <a:fillRect/>
        </a:stretch>
      </xdr:blipFill>
      <xdr:spPr>
        <a:xfrm>
          <a:off x="6505575" y="4286250"/>
          <a:ext cx="9525" cy="9525"/>
        </a:xfrm>
        <a:prstGeom prst="rect">
          <a:avLst/>
        </a:prstGeom>
        <a:noFill/>
        <a:ln w="9525" cmpd="sng">
          <a:noFill/>
        </a:ln>
      </xdr:spPr>
    </xdr:pic>
    <xdr:clientData/>
  </xdr:twoCellAnchor>
  <xdr:twoCellAnchor>
    <xdr:from>
      <xdr:col>6</xdr:col>
      <xdr:colOff>523875</xdr:colOff>
      <xdr:row>27</xdr:row>
      <xdr:rowOff>95250</xdr:rowOff>
    </xdr:from>
    <xdr:to>
      <xdr:col>15</xdr:col>
      <xdr:colOff>19050</xdr:colOff>
      <xdr:row>55</xdr:row>
      <xdr:rowOff>19050</xdr:rowOff>
    </xdr:to>
    <xdr:sp>
      <xdr:nvSpPr>
        <xdr:cNvPr id="2" name="Straight Arrow Connector 2"/>
        <xdr:cNvSpPr>
          <a:spLocks/>
        </xdr:cNvSpPr>
      </xdr:nvSpPr>
      <xdr:spPr>
        <a:xfrm flipH="1">
          <a:off x="4371975" y="4086225"/>
          <a:ext cx="5086350" cy="4019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hrisab\AppData\Local\Microsoft\Windows\Temporary%20Internet%20Files\Content.Outlook\5QUKZ49W\2015.04%20_%204197%20Lynnwood%20Recycle%20Credits%20#2.xlsb"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istrict\Accounting\WUTC%20Files\RSA\2015-2017%20Plan%20Year\2014-2015%20Additional%20passback%20to%20customer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lookup"/>
      <sheetName val="Start"/>
      <sheetName val="JournalEntry"/>
      <sheetName val="JE"/>
      <sheetName val="218070 Deferred Revenue"/>
      <sheetName val="Accrual"/>
      <sheetName val="Summary"/>
      <sheetName val="RSA Spend"/>
      <sheetName val="Lynnwood SF Recycle Credits"/>
      <sheetName val="Lynnwood MF Recycle Credits"/>
      <sheetName val="2014 SF Annual"/>
      <sheetName val="2014 MF Annual"/>
      <sheetName val="2013 SF Annual Report"/>
      <sheetName val="2013 MF Annual Report"/>
      <sheetName val="Notes to WP Package"/>
      <sheetName val="T Account Example"/>
    </sheetNames>
    <sheetDataSet>
      <sheetData sheetId="9">
        <row r="29">
          <cell r="L29">
            <v>2828.6527</v>
          </cell>
        </row>
        <row r="30">
          <cell r="L30">
            <v>2523.6279</v>
          </cell>
        </row>
        <row r="31">
          <cell r="L31">
            <v>2959.9006</v>
          </cell>
        </row>
        <row r="32">
          <cell r="L32">
            <v>2662.9638499999996</v>
          </cell>
        </row>
        <row r="33">
          <cell r="L33">
            <v>3252.7875</v>
          </cell>
        </row>
        <row r="34">
          <cell r="L34">
            <v>3158.0756</v>
          </cell>
        </row>
        <row r="35">
          <cell r="L35">
            <v>2610.0114500000004</v>
          </cell>
        </row>
        <row r="36">
          <cell r="L36">
            <v>2964.5297499999997</v>
          </cell>
        </row>
        <row r="37">
          <cell r="L37">
            <v>2684.3250000000003</v>
          </cell>
        </row>
        <row r="38">
          <cell r="L38">
            <v>1734.0243998274989</v>
          </cell>
        </row>
        <row r="39">
          <cell r="L39">
            <v>2088.5425</v>
          </cell>
        </row>
        <row r="40">
          <cell r="L40">
            <v>2083.35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4-2015"/>
      <sheetName val="2013-2014"/>
      <sheetName val="Sheet3"/>
    </sheetNames>
    <sheetDataSet>
      <sheetData sheetId="0">
        <row r="14">
          <cell r="C1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A106"/>
  <sheetViews>
    <sheetView showGridLines="0" tabSelected="1" zoomScalePageLayoutView="0" workbookViewId="0" topLeftCell="A53">
      <selection activeCell="I69" sqref="I69"/>
    </sheetView>
  </sheetViews>
  <sheetFormatPr defaultColWidth="9.140625" defaultRowHeight="12.75"/>
  <cols>
    <col min="1" max="1" width="14.28125" style="5" customWidth="1"/>
    <col min="2" max="2" width="10.57421875" style="5" customWidth="1"/>
    <col min="3" max="3" width="4.421875" style="5" customWidth="1"/>
    <col min="4" max="4" width="11.28125" style="5" customWidth="1"/>
    <col min="5" max="5" width="5.8515625" style="5" customWidth="1"/>
    <col min="6" max="6" width="11.28125" style="5" customWidth="1"/>
    <col min="7" max="7" width="8.7109375" style="5" customWidth="1"/>
    <col min="8" max="8" width="4.421875" style="5" customWidth="1"/>
    <col min="9" max="9" width="8.7109375" style="5" bestFit="1" customWidth="1"/>
    <col min="10" max="10" width="10.8515625" style="5" customWidth="1"/>
    <col min="11" max="11" width="7.140625" style="5" customWidth="1"/>
    <col min="12" max="14" width="9.57421875" style="5" customWidth="1"/>
    <col min="15" max="15" width="15.28125" style="5" bestFit="1" customWidth="1"/>
    <col min="16" max="16" width="36.7109375" style="5" bestFit="1" customWidth="1"/>
    <col min="17"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72</v>
      </c>
      <c r="B1" s="2"/>
      <c r="C1" s="2"/>
      <c r="D1" s="2"/>
      <c r="E1" s="2"/>
      <c r="F1" s="2"/>
      <c r="G1" s="3"/>
      <c r="H1" s="2"/>
      <c r="I1" s="2"/>
      <c r="J1" s="1" t="s">
        <v>80</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tr">
        <f>"For the Year Ended April "&amp;YEAR(A22)</f>
        <v>For the Year Ended April 2015</v>
      </c>
      <c r="B3" s="2"/>
      <c r="C3" s="2"/>
      <c r="D3" s="2"/>
      <c r="E3" s="2"/>
      <c r="F3" s="3"/>
      <c r="G3" s="3"/>
      <c r="H3" s="2"/>
      <c r="I3" s="2"/>
      <c r="J3" s="2"/>
      <c r="K3" s="2"/>
      <c r="L3" s="2"/>
      <c r="M3" s="2"/>
      <c r="N3" s="2"/>
      <c r="O3" s="2"/>
      <c r="P3" s="2"/>
      <c r="Q3" s="2"/>
      <c r="R3" s="2"/>
      <c r="S3" s="2"/>
      <c r="T3" s="2"/>
      <c r="U3" s="2"/>
      <c r="V3" s="2"/>
      <c r="W3" s="3"/>
      <c r="X3" s="3"/>
      <c r="Y3" s="3"/>
      <c r="Z3" s="3"/>
      <c r="AA3" s="3"/>
    </row>
    <row r="4" spans="1:22" ht="12.75">
      <c r="A4" s="6" t="s">
        <v>63</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1</v>
      </c>
      <c r="G5" s="11"/>
      <c r="H5" s="11"/>
      <c r="I5" s="11"/>
      <c r="J5" s="11"/>
      <c r="K5" s="11"/>
      <c r="L5" s="2"/>
      <c r="M5" s="2"/>
      <c r="N5" s="2"/>
      <c r="O5" s="135" t="str">
        <f>"Total "&amp;F5</f>
        <v>Total Commodity</v>
      </c>
      <c r="P5" s="136"/>
      <c r="Q5" s="2"/>
      <c r="R5" s="2"/>
      <c r="S5" s="2"/>
      <c r="T5" s="2"/>
      <c r="U5" s="2"/>
      <c r="V5" s="13"/>
      <c r="W5" s="14"/>
      <c r="X5" s="14"/>
      <c r="Y5" s="14"/>
      <c r="AA5" s="14"/>
    </row>
    <row r="6" spans="1:16" s="16" customFormat="1" ht="11.25">
      <c r="A6" s="15"/>
      <c r="B6" s="12"/>
      <c r="C6" s="12"/>
      <c r="D6" s="12" t="s">
        <v>1</v>
      </c>
      <c r="E6" s="12"/>
      <c r="F6" s="12" t="s">
        <v>2</v>
      </c>
      <c r="G6" s="12"/>
      <c r="H6" s="12"/>
      <c r="I6" s="12"/>
      <c r="J6" s="12"/>
      <c r="K6" s="12"/>
      <c r="O6" s="137" t="str">
        <f>+F6</f>
        <v>Revenue</v>
      </c>
      <c r="P6" s="94"/>
    </row>
    <row r="7" spans="1:16" s="16" customFormat="1" ht="11.25">
      <c r="A7" s="15" t="s">
        <v>3</v>
      </c>
      <c r="B7" s="12" t="s">
        <v>64</v>
      </c>
      <c r="C7" s="12"/>
      <c r="D7" s="12" t="s">
        <v>2</v>
      </c>
      <c r="E7" s="12"/>
      <c r="F7" s="12" t="s">
        <v>65</v>
      </c>
      <c r="G7" s="12"/>
      <c r="H7" s="12"/>
      <c r="I7" s="12"/>
      <c r="J7" s="12" t="s">
        <v>66</v>
      </c>
      <c r="K7" s="12"/>
      <c r="O7" s="137" t="str">
        <f>+F7</f>
        <v>per Yard</v>
      </c>
      <c r="P7" s="94"/>
    </row>
    <row r="8" spans="1:16" s="16" customFormat="1" ht="11.25">
      <c r="A8" s="122">
        <f>Multi_Family!$C$6</f>
        <v>41760</v>
      </c>
      <c r="B8" s="18">
        <v>7814</v>
      </c>
      <c r="C8" s="12"/>
      <c r="D8" s="93">
        <f>Value!O6</f>
        <v>2694.376279999999</v>
      </c>
      <c r="E8" s="12"/>
      <c r="F8" s="16">
        <f>ROUND(D8/B14,2)</f>
        <v>0.35</v>
      </c>
      <c r="G8" s="12"/>
      <c r="H8" s="12"/>
      <c r="I8" s="12"/>
      <c r="J8" s="14">
        <f>+B14</f>
        <v>7793</v>
      </c>
      <c r="K8" s="13">
        <f>YEAR(A8)</f>
        <v>2014</v>
      </c>
      <c r="O8" s="138">
        <f>VLOOKUP(A8,Value!$A$6:$O$17,13,FALSE)</f>
        <v>5523.028979999999</v>
      </c>
      <c r="P8" s="94"/>
    </row>
    <row r="9" spans="1:16" s="16" customFormat="1" ht="11.25">
      <c r="A9" s="17">
        <f>EOMONTH(A8,1)</f>
        <v>41820</v>
      </c>
      <c r="B9" s="18">
        <v>7776</v>
      </c>
      <c r="C9" s="19"/>
      <c r="D9" s="93">
        <f>Value!O7</f>
        <v>3340.967732929998</v>
      </c>
      <c r="E9" s="14"/>
      <c r="F9" s="16">
        <f>ROUND(D9/B9,2)</f>
        <v>0.43</v>
      </c>
      <c r="G9" s="14"/>
      <c r="H9" s="14"/>
      <c r="I9" s="14"/>
      <c r="J9" s="14">
        <f>+B9</f>
        <v>7776</v>
      </c>
      <c r="K9" s="13">
        <f>YEAR(A9)</f>
        <v>2014</v>
      </c>
      <c r="O9" s="138">
        <f>VLOOKUP(A9,Value!$A$6:$O$17,13,FALSE)</f>
        <v>5864.595632929998</v>
      </c>
      <c r="P9" s="94"/>
    </row>
    <row r="10" spans="1:16" s="16" customFormat="1" ht="11.25">
      <c r="A10" s="17">
        <f>EOMONTH(A9,1)</f>
        <v>41851</v>
      </c>
      <c r="B10" s="18">
        <v>7793</v>
      </c>
      <c r="C10" s="14"/>
      <c r="D10" s="93">
        <f>Value!O8</f>
        <v>3396.5072869399983</v>
      </c>
      <c r="E10" s="14"/>
      <c r="F10" s="16">
        <f>ROUND(D10/B10,2)</f>
        <v>0.44</v>
      </c>
      <c r="G10" s="14"/>
      <c r="H10" s="14"/>
      <c r="I10" s="14"/>
      <c r="J10" s="14">
        <f>+B10</f>
        <v>7793</v>
      </c>
      <c r="K10" s="13">
        <f>YEAR(A10)</f>
        <v>2014</v>
      </c>
      <c r="O10" s="138">
        <f>VLOOKUP(A10,Value!$A$6:$O$17,13,FALSE)</f>
        <v>6356.407886939998</v>
      </c>
      <c r="P10" s="94"/>
    </row>
    <row r="11" spans="1:16" s="16" customFormat="1" ht="11.25">
      <c r="A11" s="17"/>
      <c r="B11" s="14"/>
      <c r="C11" s="14"/>
      <c r="E11" s="14"/>
      <c r="G11" s="14"/>
      <c r="H11" s="14"/>
      <c r="I11" s="14"/>
      <c r="J11" s="14"/>
      <c r="K11" s="13"/>
      <c r="O11" s="138"/>
      <c r="P11" s="94"/>
    </row>
    <row r="12" spans="1:16" s="16" customFormat="1" ht="11.25">
      <c r="A12" s="17" t="s">
        <v>88</v>
      </c>
      <c r="B12" s="20">
        <f>SUM(B8:B11)</f>
        <v>23383</v>
      </c>
      <c r="C12" s="19" t="s">
        <v>4</v>
      </c>
      <c r="D12" s="21">
        <f>SUM(D8:D11)</f>
        <v>9431.851299869995</v>
      </c>
      <c r="E12" s="14"/>
      <c r="G12" s="14"/>
      <c r="H12" s="14"/>
      <c r="I12" s="14"/>
      <c r="J12" s="14"/>
      <c r="K12" s="13"/>
      <c r="O12" s="138"/>
      <c r="P12" s="94"/>
    </row>
    <row r="13" spans="1:16" s="16" customFormat="1" ht="11.25">
      <c r="A13" s="17"/>
      <c r="B13" s="14"/>
      <c r="C13" s="14"/>
      <c r="E13" s="14"/>
      <c r="G13" s="14"/>
      <c r="H13" s="14"/>
      <c r="I13" s="14"/>
      <c r="J13" s="14"/>
      <c r="K13" s="13"/>
      <c r="O13" s="138"/>
      <c r="P13" s="94"/>
    </row>
    <row r="14" spans="1:16" s="16" customFormat="1" ht="11.25">
      <c r="A14" s="17">
        <f>EOMONTH(A10,1)</f>
        <v>41882</v>
      </c>
      <c r="B14" s="92">
        <v>7793</v>
      </c>
      <c r="C14" s="14"/>
      <c r="D14" s="93">
        <f>Value!O9</f>
        <v>2663.340345089999</v>
      </c>
      <c r="E14" s="14"/>
      <c r="F14" s="16">
        <f aca="true" t="shared" si="0" ref="F14:F22">ROUND(D14/B14,2)</f>
        <v>0.34</v>
      </c>
      <c r="G14" s="22"/>
      <c r="H14" s="14"/>
      <c r="I14" s="14"/>
      <c r="J14" s="14">
        <f aca="true" t="shared" si="1" ref="J14:J22">+B14</f>
        <v>7793</v>
      </c>
      <c r="K14" s="13">
        <f aca="true" t="shared" si="2" ref="K14:K22">YEAR(A14)</f>
        <v>2014</v>
      </c>
      <c r="O14" s="138">
        <f>VLOOKUP(A14,Value!$A$6:$O$17,13,FALSE)</f>
        <v>5326.304195089999</v>
      </c>
      <c r="P14" s="94"/>
    </row>
    <row r="15" spans="1:16" s="16" customFormat="1" ht="11.25">
      <c r="A15" s="17">
        <f aca="true" t="shared" si="3" ref="A15:A22">EOMONTH(A14,1)</f>
        <v>41912</v>
      </c>
      <c r="B15" s="18">
        <v>7793</v>
      </c>
      <c r="C15" s="14"/>
      <c r="D15" s="93">
        <f>Value!O10</f>
        <v>3253.176215789998</v>
      </c>
      <c r="E15" s="14"/>
      <c r="F15" s="16">
        <f t="shared" si="0"/>
        <v>0.42</v>
      </c>
      <c r="G15" s="22"/>
      <c r="H15" s="14"/>
      <c r="I15" s="14"/>
      <c r="J15" s="14">
        <f t="shared" si="1"/>
        <v>7793</v>
      </c>
      <c r="K15" s="13">
        <f t="shared" si="2"/>
        <v>2014</v>
      </c>
      <c r="O15" s="138">
        <f>VLOOKUP(A15,Value!$A$6:$O$17,13,FALSE)</f>
        <v>6505.963715789998</v>
      </c>
      <c r="P15" s="94"/>
    </row>
    <row r="16" spans="1:16" s="16" customFormat="1" ht="11.25">
      <c r="A16" s="17">
        <f t="shared" si="3"/>
        <v>41943</v>
      </c>
      <c r="B16" s="18">
        <v>7793</v>
      </c>
      <c r="C16" s="14"/>
      <c r="D16" s="93">
        <f>Value!O11</f>
        <v>3158.4609748639987</v>
      </c>
      <c r="E16" s="14"/>
      <c r="F16" s="16">
        <f t="shared" si="0"/>
        <v>0.41</v>
      </c>
      <c r="G16" s="22"/>
      <c r="H16" s="14"/>
      <c r="I16" s="14"/>
      <c r="J16" s="14">
        <f t="shared" si="1"/>
        <v>7793</v>
      </c>
      <c r="K16" s="13">
        <f t="shared" si="2"/>
        <v>2014</v>
      </c>
      <c r="O16" s="138">
        <f>VLOOKUP(A16,Value!$A$6:$O$17,13,FALSE)</f>
        <v>6316.536574863999</v>
      </c>
      <c r="P16" s="94"/>
    </row>
    <row r="17" spans="1:16" s="16" customFormat="1" ht="11.25">
      <c r="A17" s="17">
        <f t="shared" si="3"/>
        <v>41973</v>
      </c>
      <c r="B17" s="18">
        <v>7714</v>
      </c>
      <c r="C17" s="14"/>
      <c r="D17" s="93">
        <f>Value!O12</f>
        <v>2609.230817107997</v>
      </c>
      <c r="E17" s="14"/>
      <c r="F17" s="16">
        <f t="shared" si="0"/>
        <v>0.34</v>
      </c>
      <c r="G17" s="22"/>
      <c r="H17" s="14"/>
      <c r="I17" s="14"/>
      <c r="J17" s="14">
        <f t="shared" si="1"/>
        <v>7714</v>
      </c>
      <c r="K17" s="13">
        <f t="shared" si="2"/>
        <v>2014</v>
      </c>
      <c r="O17" s="138">
        <f>VLOOKUP(A17,Value!$A$6:$O$17,13,FALSE)</f>
        <v>5219.242267107998</v>
      </c>
      <c r="P17" s="94"/>
    </row>
    <row r="18" spans="1:25" s="16" customFormat="1" ht="11.25">
      <c r="A18" s="17">
        <f t="shared" si="3"/>
        <v>42004</v>
      </c>
      <c r="B18" s="18">
        <v>7710</v>
      </c>
      <c r="C18" s="14"/>
      <c r="D18" s="93">
        <f>Value!O13</f>
        <v>-577.9868168360008</v>
      </c>
      <c r="E18" s="14"/>
      <c r="F18" s="16">
        <f t="shared" si="0"/>
        <v>-0.07</v>
      </c>
      <c r="G18" s="22"/>
      <c r="H18" s="14"/>
      <c r="I18" s="14"/>
      <c r="J18" s="14">
        <f t="shared" si="1"/>
        <v>7710</v>
      </c>
      <c r="K18" s="13">
        <f t="shared" si="2"/>
        <v>2014</v>
      </c>
      <c r="O18" s="138">
        <f>VLOOKUP(A18,Value!$A$6:$O$17,13,FALSE)</f>
        <v>2386.542933163999</v>
      </c>
      <c r="P18" s="94"/>
      <c r="X18" s="14"/>
      <c r="Y18" s="14"/>
    </row>
    <row r="19" spans="1:27" s="16" customFormat="1" ht="11.25">
      <c r="A19" s="17">
        <f t="shared" si="3"/>
        <v>42035</v>
      </c>
      <c r="B19" s="18">
        <v>7718.8</v>
      </c>
      <c r="C19" s="14"/>
      <c r="D19" s="93">
        <f>Value!O14</f>
        <v>1852.096786503998</v>
      </c>
      <c r="E19" s="14"/>
      <c r="F19" s="16">
        <f t="shared" si="0"/>
        <v>0.24</v>
      </c>
      <c r="G19" s="22"/>
      <c r="H19" s="14"/>
      <c r="I19" s="14"/>
      <c r="J19" s="14">
        <f t="shared" si="1"/>
        <v>7718.8</v>
      </c>
      <c r="K19" s="13">
        <f t="shared" si="2"/>
        <v>2015</v>
      </c>
      <c r="L19" s="14"/>
      <c r="M19" s="14"/>
      <c r="N19" s="14"/>
      <c r="O19" s="138">
        <f>VLOOKUP(A19,Value!$A$6:$O$17,13,FALSE)</f>
        <v>4536.421786503998</v>
      </c>
      <c r="P19" s="94"/>
      <c r="Q19" s="14"/>
      <c r="R19" s="14"/>
      <c r="S19" s="14"/>
      <c r="T19" s="14"/>
      <c r="U19" s="14"/>
      <c r="V19" s="14"/>
      <c r="W19" s="14"/>
      <c r="Y19" s="14"/>
      <c r="AA19" s="14"/>
    </row>
    <row r="20" spans="1:16" s="16" customFormat="1" ht="11.25">
      <c r="A20" s="17">
        <f t="shared" si="3"/>
        <v>42063</v>
      </c>
      <c r="B20" s="18">
        <v>7719.23</v>
      </c>
      <c r="C20" s="14"/>
      <c r="D20" s="93">
        <f>Value!O15</f>
        <v>1734.0243998274993</v>
      </c>
      <c r="E20" s="14"/>
      <c r="F20" s="16">
        <f t="shared" si="0"/>
        <v>0.22</v>
      </c>
      <c r="G20" s="22"/>
      <c r="H20" s="14"/>
      <c r="I20" s="14"/>
      <c r="J20" s="14">
        <f t="shared" si="1"/>
        <v>7719.23</v>
      </c>
      <c r="K20" s="13">
        <f t="shared" si="2"/>
        <v>2015</v>
      </c>
      <c r="O20" s="138">
        <f>VLOOKUP(A20,Value!$A$6:$O$17,13,FALSE)</f>
        <v>3468.048799654998</v>
      </c>
      <c r="P20" s="33"/>
    </row>
    <row r="21" spans="1:16" s="16" customFormat="1" ht="11.25">
      <c r="A21" s="17">
        <f t="shared" si="3"/>
        <v>42094</v>
      </c>
      <c r="B21" s="18">
        <v>7723.12</v>
      </c>
      <c r="C21" s="14"/>
      <c r="D21" s="93">
        <f>Value!O16</f>
        <v>2087.8754887369982</v>
      </c>
      <c r="E21" s="14"/>
      <c r="F21" s="16">
        <f t="shared" si="0"/>
        <v>0.27</v>
      </c>
      <c r="G21" s="22"/>
      <c r="H21" s="19"/>
      <c r="I21" s="14"/>
      <c r="J21" s="14">
        <f>+B21</f>
        <v>7723.12</v>
      </c>
      <c r="K21" s="13">
        <f t="shared" si="2"/>
        <v>2015</v>
      </c>
      <c r="O21" s="138">
        <f>VLOOKUP(A21,Value!$A$6:$O$17,13,FALSE)</f>
        <v>4176.417988736998</v>
      </c>
      <c r="P21" s="94"/>
    </row>
    <row r="22" spans="1:16" s="16" customFormat="1" ht="11.25">
      <c r="A22" s="17">
        <f t="shared" si="3"/>
        <v>42124</v>
      </c>
      <c r="B22" s="18">
        <v>7723.12</v>
      </c>
      <c r="C22" s="14"/>
      <c r="D22" s="93">
        <f>Value!O17</f>
        <v>2242.8606325999986</v>
      </c>
      <c r="E22" s="14"/>
      <c r="F22" s="16">
        <f t="shared" si="0"/>
        <v>0.29</v>
      </c>
      <c r="G22" s="22"/>
      <c r="H22" s="19"/>
      <c r="I22" s="14"/>
      <c r="J22" s="14">
        <f t="shared" si="1"/>
        <v>7723.12</v>
      </c>
      <c r="K22" s="13">
        <f t="shared" si="2"/>
        <v>2015</v>
      </c>
      <c r="O22" s="138">
        <f>VLOOKUP(A22,Value!$A$6:$O$17,13,FALSE)</f>
        <v>4326.2106325999985</v>
      </c>
      <c r="P22" s="94"/>
    </row>
    <row r="23" spans="1:15" s="16" customFormat="1" ht="11.25">
      <c r="A23" s="17"/>
      <c r="B23" s="14"/>
      <c r="C23" s="14"/>
      <c r="E23" s="14"/>
      <c r="G23" s="14"/>
      <c r="H23" s="14"/>
      <c r="I23" s="14"/>
      <c r="J23" s="14"/>
      <c r="K23" s="13"/>
      <c r="O23" s="139"/>
    </row>
    <row r="24" spans="1:16" s="16" customFormat="1" ht="11.25">
      <c r="A24" s="17" t="s">
        <v>89</v>
      </c>
      <c r="B24" s="20">
        <f>SUM(B13:B23)</f>
        <v>69687.27</v>
      </c>
      <c r="C24" s="19" t="s">
        <v>5</v>
      </c>
      <c r="D24" s="21">
        <f>SUM(D13:D23)</f>
        <v>19023.078843684485</v>
      </c>
      <c r="E24" s="14"/>
      <c r="G24" s="14"/>
      <c r="H24" s="14"/>
      <c r="I24" s="14"/>
      <c r="J24" s="14"/>
      <c r="K24" s="13"/>
      <c r="O24" s="139"/>
      <c r="P24" s="99" t="s">
        <v>81</v>
      </c>
    </row>
    <row r="25" spans="1:16" s="16" customFormat="1" ht="12.75">
      <c r="A25" s="5"/>
      <c r="B25" s="5"/>
      <c r="C25" s="5"/>
      <c r="D25" s="23"/>
      <c r="E25" s="5"/>
      <c r="F25" s="5"/>
      <c r="G25" s="5"/>
      <c r="H25" s="5"/>
      <c r="I25" s="5"/>
      <c r="J25" s="5"/>
      <c r="K25" s="5"/>
      <c r="O25" s="139">
        <f>SUM(O8:O24)</f>
        <v>60005.72139338198</v>
      </c>
      <c r="P25" s="106"/>
    </row>
    <row r="26" spans="1:16" s="16" customFormat="1" ht="12" thickBot="1">
      <c r="A26" s="24"/>
      <c r="B26" s="25">
        <f>+B12+B24</f>
        <v>93070.27</v>
      </c>
      <c r="C26" s="19"/>
      <c r="D26" s="26">
        <f>+D12+D24</f>
        <v>28454.93014355448</v>
      </c>
      <c r="E26" s="19" t="s">
        <v>6</v>
      </c>
      <c r="F26" s="22">
        <f>ROUND(D26/B26,3)</f>
        <v>0.306</v>
      </c>
      <c r="G26" s="19" t="s">
        <v>7</v>
      </c>
      <c r="H26" s="14"/>
      <c r="I26" s="14"/>
      <c r="J26" s="25">
        <f>SUM(J8:J25)</f>
        <v>93049.26999999999</v>
      </c>
      <c r="K26" s="19" t="s">
        <v>8</v>
      </c>
      <c r="O26" s="140">
        <f>ROUND(O25/J26,3)</f>
        <v>0.645</v>
      </c>
      <c r="P26" s="94" t="s">
        <v>82</v>
      </c>
    </row>
    <row r="27" spans="2:16" s="16" customFormat="1" ht="12" thickTop="1">
      <c r="B27" s="14"/>
      <c r="C27" s="19"/>
      <c r="D27" s="14"/>
      <c r="E27" s="14"/>
      <c r="F27" s="14"/>
      <c r="G27" s="14"/>
      <c r="H27" s="14"/>
      <c r="I27" s="14"/>
      <c r="J27" s="14"/>
      <c r="K27" s="14"/>
      <c r="O27" s="154">
        <f>+J18</f>
        <v>7710</v>
      </c>
      <c r="P27" s="94" t="s">
        <v>83</v>
      </c>
    </row>
    <row r="28" spans="2:16" s="16" customFormat="1" ht="11.25">
      <c r="B28" s="14"/>
      <c r="C28" s="14"/>
      <c r="D28" s="14"/>
      <c r="E28" s="14"/>
      <c r="F28" s="14"/>
      <c r="G28" s="14"/>
      <c r="H28" s="14"/>
      <c r="I28" s="14"/>
      <c r="J28" s="14"/>
      <c r="K28" s="14"/>
      <c r="O28" s="94"/>
      <c r="P28" s="94" t="s">
        <v>84</v>
      </c>
    </row>
    <row r="29" spans="2:11" s="16" customFormat="1" ht="12" thickBot="1">
      <c r="B29" s="27" t="s">
        <v>9</v>
      </c>
      <c r="C29" s="28"/>
      <c r="D29" s="28"/>
      <c r="E29" s="28"/>
      <c r="F29" s="14"/>
      <c r="G29" s="14"/>
      <c r="H29" s="14"/>
      <c r="I29" s="14"/>
      <c r="J29" s="14"/>
      <c r="K29" s="14"/>
    </row>
    <row r="30" spans="1:25" s="16" customFormat="1" ht="12" thickTop="1">
      <c r="A30" s="6"/>
      <c r="B30" s="29"/>
      <c r="C30" s="14"/>
      <c r="D30" s="14"/>
      <c r="E30" s="14"/>
      <c r="F30" s="14"/>
      <c r="G30" s="14"/>
      <c r="H30" s="14"/>
      <c r="I30" s="14"/>
      <c r="J30" s="14"/>
      <c r="K30" s="14"/>
      <c r="X30" s="14"/>
      <c r="Y30" s="14"/>
    </row>
    <row r="31" spans="1:11" s="16" customFormat="1" ht="11.25">
      <c r="A31" s="8"/>
      <c r="B31" s="29"/>
      <c r="C31" s="14"/>
      <c r="D31" s="14"/>
      <c r="E31" s="14"/>
      <c r="F31" s="30" t="s">
        <v>10</v>
      </c>
      <c r="G31" s="14">
        <f>+D26</f>
        <v>28454.93014355448</v>
      </c>
      <c r="H31" s="19" t="s">
        <v>6</v>
      </c>
      <c r="I31" s="14"/>
      <c r="J31" s="14"/>
      <c r="K31" s="14"/>
    </row>
    <row r="32" spans="1:27" s="13" customFormat="1" ht="11.25">
      <c r="A32" s="31"/>
      <c r="B32" s="29"/>
      <c r="C32" s="14"/>
      <c r="D32" s="14"/>
      <c r="E32" s="14"/>
      <c r="F32" s="14"/>
      <c r="G32" s="14"/>
      <c r="H32" s="19"/>
      <c r="I32" s="14"/>
      <c r="J32" s="14"/>
      <c r="K32" s="14"/>
      <c r="O32" s="16">
        <f>12*O27*O26</f>
        <v>59675.4</v>
      </c>
      <c r="P32" s="13" t="s">
        <v>86</v>
      </c>
      <c r="W32" s="14"/>
      <c r="X32" s="16"/>
      <c r="Y32" s="16"/>
      <c r="AA32" s="14"/>
    </row>
    <row r="33" spans="2:16" s="16" customFormat="1" ht="11.25">
      <c r="B33" s="14" t="s">
        <v>67</v>
      </c>
      <c r="C33" s="14"/>
      <c r="D33" s="14"/>
      <c r="E33" s="14"/>
      <c r="F33" s="32">
        <v>0.383</v>
      </c>
      <c r="G33" s="14"/>
      <c r="H33" s="14"/>
      <c r="I33" s="14"/>
      <c r="J33" s="14"/>
      <c r="K33" s="14"/>
      <c r="O33" s="16">
        <f>12*O27*G56</f>
        <v>29851.227370512777</v>
      </c>
      <c r="P33" s="16" t="s">
        <v>87</v>
      </c>
    </row>
    <row r="34" spans="2:15" s="16" customFormat="1" ht="11.25">
      <c r="B34" s="14"/>
      <c r="C34" s="14" t="str">
        <f>"Customers from "&amp;TEXT($A$8,"mm/yy")&amp;" - "&amp;TEXT($A$10,"mm/yy")</f>
        <v>Customers from 05/14 - 07/14</v>
      </c>
      <c r="D34" s="14"/>
      <c r="E34" s="14"/>
      <c r="F34" s="14">
        <f>+B12</f>
        <v>23383</v>
      </c>
      <c r="G34" s="19" t="s">
        <v>4</v>
      </c>
      <c r="H34" s="14"/>
      <c r="I34" s="14"/>
      <c r="J34" s="14"/>
      <c r="K34" s="14"/>
      <c r="O34" s="143">
        <f>+O33/O32</f>
        <v>0.5002266825276878</v>
      </c>
    </row>
    <row r="35" spans="2:11" s="16" customFormat="1" ht="11.25">
      <c r="B35" s="14"/>
      <c r="C35" s="14" t="s">
        <v>11</v>
      </c>
      <c r="D35" s="14"/>
      <c r="E35" s="14"/>
      <c r="F35" s="20">
        <f>ROUND(F33*F34,0)</f>
        <v>8956</v>
      </c>
      <c r="G35" s="19"/>
      <c r="H35" s="14"/>
      <c r="I35" s="14"/>
      <c r="J35" s="14"/>
      <c r="K35" s="14"/>
    </row>
    <row r="36" spans="2:11" s="16" customFormat="1" ht="11.25">
      <c r="B36" s="14"/>
      <c r="C36" s="14"/>
      <c r="D36" s="14"/>
      <c r="E36" s="14"/>
      <c r="F36" s="33"/>
      <c r="G36" s="19"/>
      <c r="H36" s="14"/>
      <c r="I36" s="14"/>
      <c r="J36" s="14"/>
      <c r="K36" s="14"/>
    </row>
    <row r="37" spans="2:11" s="16" customFormat="1" ht="11.25">
      <c r="B37" s="14" t="s">
        <v>67</v>
      </c>
      <c r="C37" s="14"/>
      <c r="D37" s="14"/>
      <c r="E37" s="14"/>
      <c r="F37" s="32">
        <v>0.32</v>
      </c>
      <c r="G37" s="14"/>
      <c r="H37" s="14"/>
      <c r="I37" s="14"/>
      <c r="J37" s="14"/>
      <c r="K37" s="14"/>
    </row>
    <row r="38" spans="2:11" s="16" customFormat="1" ht="11.25">
      <c r="B38" s="14"/>
      <c r="C38" s="14" t="str">
        <f>"Customers from "&amp;TEXT($A$14,"mm/yy")&amp;" - "&amp;TEXT($A$22,"mm/yy")</f>
        <v>Customers from 08/14 - 04/15</v>
      </c>
      <c r="D38" s="14"/>
      <c r="E38" s="14"/>
      <c r="F38" s="14">
        <f>+B26-F34</f>
        <v>69687.27</v>
      </c>
      <c r="G38" s="19" t="s">
        <v>5</v>
      </c>
      <c r="H38" s="14"/>
      <c r="I38" s="14"/>
      <c r="J38" s="14"/>
      <c r="K38" s="14"/>
    </row>
    <row r="39" spans="2:11" s="16" customFormat="1" ht="11.25">
      <c r="B39" s="14"/>
      <c r="C39" s="14" t="s">
        <v>11</v>
      </c>
      <c r="D39" s="14"/>
      <c r="E39" s="14"/>
      <c r="F39" s="20">
        <f>ROUND(F37*F38,0)</f>
        <v>22300</v>
      </c>
      <c r="G39" s="19"/>
      <c r="H39" s="14"/>
      <c r="I39" s="14"/>
      <c r="J39" s="14"/>
      <c r="K39" s="14"/>
    </row>
    <row r="40" spans="2:11" s="16" customFormat="1" ht="11.25">
      <c r="B40" s="14"/>
      <c r="C40" s="14"/>
      <c r="D40" s="14"/>
      <c r="E40" s="14"/>
      <c r="F40" s="34"/>
      <c r="G40" s="19"/>
      <c r="H40" s="14"/>
      <c r="I40" s="14"/>
      <c r="J40" s="14"/>
      <c r="K40" s="14"/>
    </row>
    <row r="41" spans="2:11" s="16" customFormat="1" ht="12" thickBot="1">
      <c r="B41" s="14"/>
      <c r="C41" s="14" t="s">
        <v>12</v>
      </c>
      <c r="D41" s="14"/>
      <c r="E41" s="14"/>
      <c r="F41" s="25">
        <f>+F35+F39</f>
        <v>31256</v>
      </c>
      <c r="G41" s="35">
        <f>+F41</f>
        <v>31256</v>
      </c>
      <c r="H41" s="14"/>
      <c r="I41" s="14"/>
      <c r="J41" s="14"/>
      <c r="K41" s="14"/>
    </row>
    <row r="42" spans="2:11" s="16" customFormat="1" ht="12" thickTop="1">
      <c r="B42" s="14"/>
      <c r="C42" s="14"/>
      <c r="D42" s="14"/>
      <c r="E42" s="14"/>
      <c r="F42" s="14"/>
      <c r="G42" s="14"/>
      <c r="H42" s="14"/>
      <c r="I42" s="14"/>
      <c r="J42" s="14"/>
      <c r="K42" s="14"/>
    </row>
    <row r="43" spans="2:11" s="16" customFormat="1" ht="11.25">
      <c r="B43" s="14"/>
      <c r="C43" s="14"/>
      <c r="D43" s="14"/>
      <c r="E43" s="14"/>
      <c r="F43" s="14"/>
      <c r="G43" s="14"/>
      <c r="H43" s="14"/>
      <c r="I43" s="14"/>
      <c r="J43" s="14"/>
      <c r="K43" s="14"/>
    </row>
    <row r="44" spans="2:11" s="16" customFormat="1" ht="12" thickBot="1">
      <c r="B44" s="14"/>
      <c r="C44" s="14"/>
      <c r="D44" s="14"/>
      <c r="E44" s="14"/>
      <c r="F44" s="30" t="s">
        <v>68</v>
      </c>
      <c r="G44" s="36">
        <f>+G31-G41</f>
        <v>-2801.0698564455197</v>
      </c>
      <c r="H44" s="14"/>
      <c r="I44" s="14"/>
      <c r="J44" s="14"/>
      <c r="K44" s="14"/>
    </row>
    <row r="45" spans="2:25" s="16" customFormat="1" ht="12" thickTop="1">
      <c r="B45" s="14"/>
      <c r="C45" s="14"/>
      <c r="D45" s="14"/>
      <c r="E45" s="14"/>
      <c r="F45" s="14"/>
      <c r="G45" s="14"/>
      <c r="H45" s="14"/>
      <c r="I45" s="14"/>
      <c r="J45" s="14"/>
      <c r="K45" s="14"/>
      <c r="Y45" s="14"/>
    </row>
    <row r="46" spans="2:11" s="16" customFormat="1" ht="11.25">
      <c r="B46" s="14"/>
      <c r="C46" s="14"/>
      <c r="D46" s="14"/>
      <c r="E46" s="14"/>
      <c r="F46" s="14"/>
      <c r="G46" s="14"/>
      <c r="H46" s="14"/>
      <c r="I46" s="14"/>
      <c r="J46" s="14"/>
      <c r="K46" s="14"/>
    </row>
    <row r="47" spans="2:11" s="16" customFormat="1" ht="12" thickBot="1">
      <c r="B47" s="27" t="str">
        <f>$K$22+1&amp;" Recycle Adjustment Calculation"</f>
        <v>2016 Recycle Adjustment Calculation</v>
      </c>
      <c r="C47" s="28"/>
      <c r="D47" s="28"/>
      <c r="E47" s="28"/>
      <c r="F47" s="28"/>
      <c r="G47" s="14"/>
      <c r="H47" s="14"/>
      <c r="I47" s="14"/>
      <c r="J47" s="14"/>
      <c r="K47" s="14"/>
    </row>
    <row r="48" spans="2:27" s="16" customFormat="1" ht="12" thickTop="1">
      <c r="B48" s="29"/>
      <c r="C48" s="14"/>
      <c r="D48" s="14"/>
      <c r="E48" s="14"/>
      <c r="F48" s="14"/>
      <c r="G48" s="14"/>
      <c r="H48" s="14"/>
      <c r="I48" s="14"/>
      <c r="J48" s="14"/>
      <c r="K48" s="14"/>
      <c r="L48" s="14"/>
      <c r="M48" s="14"/>
      <c r="N48" s="14"/>
      <c r="O48" s="14"/>
      <c r="P48" s="14"/>
      <c r="Q48" s="14"/>
      <c r="R48" s="14"/>
      <c r="S48" s="14"/>
      <c r="T48" s="14"/>
      <c r="U48" s="14"/>
      <c r="V48" s="14"/>
      <c r="W48" s="14"/>
      <c r="AA48" s="14"/>
    </row>
    <row r="49" spans="2:11" s="16" customFormat="1" ht="11.25">
      <c r="B49" s="14" t="str">
        <f>$K$10&amp;"/"&amp;$K$22&amp;" True-up Computation"</f>
        <v>2014/2015 True-up Computation</v>
      </c>
      <c r="C49" s="14"/>
      <c r="D49" s="14"/>
      <c r="E49" s="14"/>
      <c r="F49" s="14"/>
      <c r="G49" s="14"/>
      <c r="H49" s="14"/>
      <c r="I49" s="14"/>
      <c r="J49" s="14"/>
      <c r="K49" s="14"/>
    </row>
    <row r="50" spans="2:11" s="16" customFormat="1" ht="11.25">
      <c r="B50" s="14"/>
      <c r="C50" s="14"/>
      <c r="D50" s="14"/>
      <c r="E50" s="14"/>
      <c r="F50" s="30" t="s">
        <v>14</v>
      </c>
      <c r="G50" s="133">
        <f>+J26</f>
        <v>93049.26999999999</v>
      </c>
      <c r="H50" s="19" t="s">
        <v>8</v>
      </c>
      <c r="I50" s="14"/>
      <c r="J50" s="14"/>
      <c r="K50" s="14"/>
    </row>
    <row r="51" spans="2:11" s="16" customFormat="1" ht="11.25">
      <c r="B51" s="14"/>
      <c r="C51" s="14"/>
      <c r="D51" s="14"/>
      <c r="E51" s="14"/>
      <c r="F51" s="30" t="s">
        <v>13</v>
      </c>
      <c r="G51" s="14">
        <f>+G44</f>
        <v>-2801.0698564455197</v>
      </c>
      <c r="H51" s="14"/>
      <c r="I51" s="14"/>
      <c r="J51" s="14"/>
      <c r="K51" s="14"/>
    </row>
    <row r="52" spans="2:11" s="16" customFormat="1" ht="11.25">
      <c r="B52" s="14"/>
      <c r="C52" s="14"/>
      <c r="D52" s="14"/>
      <c r="E52" s="14"/>
      <c r="F52" s="30"/>
      <c r="G52" s="14"/>
      <c r="H52" s="14"/>
      <c r="I52" s="14"/>
      <c r="J52" s="14"/>
      <c r="K52" s="14"/>
    </row>
    <row r="53" spans="2:11" s="16" customFormat="1" ht="12" thickBot="1">
      <c r="B53" s="14"/>
      <c r="C53" s="14"/>
      <c r="D53" s="14"/>
      <c r="E53" s="14"/>
      <c r="F53" s="30" t="s">
        <v>71</v>
      </c>
      <c r="G53" s="37">
        <f>ROUND(G51/G50,3)</f>
        <v>-0.03</v>
      </c>
      <c r="H53" s="14"/>
      <c r="I53" s="22">
        <f>+G53</f>
        <v>-0.03</v>
      </c>
      <c r="J53" s="14"/>
      <c r="K53" s="14"/>
    </row>
    <row r="54" spans="2:25" s="16" customFormat="1" ht="12" thickTop="1">
      <c r="B54" s="14"/>
      <c r="C54" s="14"/>
      <c r="D54" s="14"/>
      <c r="E54" s="14"/>
      <c r="F54" s="30"/>
      <c r="G54" s="14"/>
      <c r="H54" s="14"/>
      <c r="I54" s="22"/>
      <c r="J54" s="14"/>
      <c r="K54" s="14"/>
      <c r="Y54" s="14"/>
    </row>
    <row r="55" spans="2:13" s="16" customFormat="1" ht="11.25">
      <c r="B55" s="14" t="str">
        <f>$K$22+1&amp;" Projected Credit"</f>
        <v>2016 Projected Credit</v>
      </c>
      <c r="C55" s="14"/>
      <c r="D55" s="14"/>
      <c r="E55" s="14"/>
      <c r="F55" s="30"/>
      <c r="G55" s="14"/>
      <c r="H55" s="14"/>
      <c r="I55" s="22"/>
      <c r="J55" s="14"/>
      <c r="K55" s="14"/>
      <c r="M55" s="141" t="s">
        <v>85</v>
      </c>
    </row>
    <row r="56" spans="2:13" s="16" customFormat="1" ht="12" thickBot="1">
      <c r="B56" s="29"/>
      <c r="C56" s="14"/>
      <c r="D56" s="14"/>
      <c r="E56" s="14"/>
      <c r="F56" s="30" t="s">
        <v>69</v>
      </c>
      <c r="G56" s="142">
        <f>+F26/Value!P18*M56</f>
        <v>0.3226462102303586</v>
      </c>
      <c r="H56" s="14"/>
      <c r="I56" s="22">
        <f>+G56</f>
        <v>0.3226462102303586</v>
      </c>
      <c r="J56" s="19" t="s">
        <v>7</v>
      </c>
      <c r="K56" s="14"/>
      <c r="M56" s="144">
        <v>0.5</v>
      </c>
    </row>
    <row r="57" spans="2:25" s="14" customFormat="1" ht="10.5" thickTop="1">
      <c r="B57" s="29"/>
      <c r="I57" s="22"/>
      <c r="X57" s="16"/>
      <c r="Y57" s="16"/>
    </row>
    <row r="58" spans="2:11" s="16" customFormat="1" ht="10.5" thickBot="1">
      <c r="B58" s="14"/>
      <c r="C58" s="14"/>
      <c r="D58" s="14"/>
      <c r="E58" s="14"/>
      <c r="F58" s="14"/>
      <c r="G58" s="30" t="str">
        <f>$K$22+1&amp;" Adjusted Credit"</f>
        <v>2016 Adjusted Credit</v>
      </c>
      <c r="H58" s="25"/>
      <c r="I58" s="37">
        <f>+I53+I56</f>
        <v>0.29264621023035864</v>
      </c>
      <c r="J58" s="14"/>
      <c r="K58" s="14"/>
    </row>
    <row r="59" s="16" customFormat="1" ht="10.5" thickTop="1">
      <c r="I59" s="22"/>
    </row>
    <row r="60" spans="7:9" s="16" customFormat="1" ht="9.75">
      <c r="G60" s="121" t="s">
        <v>73</v>
      </c>
      <c r="I60" s="22">
        <f>+I58*3.5</f>
        <v>1.0242617358062551</v>
      </c>
    </row>
    <row r="61" spans="1:9" s="16" customFormat="1" ht="9.75">
      <c r="A61" s="94"/>
      <c r="B61" s="94"/>
      <c r="C61" s="94"/>
      <c r="D61" s="94"/>
      <c r="E61" s="94"/>
      <c r="F61" s="94"/>
      <c r="G61" s="121" t="s">
        <v>74</v>
      </c>
      <c r="I61" s="22">
        <f>I58*5</f>
        <v>1.4632310511517932</v>
      </c>
    </row>
    <row r="62" spans="1:7" s="16" customFormat="1" ht="9.75">
      <c r="A62" s="95"/>
      <c r="B62" s="96"/>
      <c r="C62" s="97"/>
      <c r="D62" s="97"/>
      <c r="E62" s="97"/>
      <c r="F62" s="98"/>
      <c r="G62" s="121"/>
    </row>
    <row r="63" spans="1:25" s="16" customFormat="1" ht="9.75">
      <c r="A63" s="99"/>
      <c r="B63" s="98"/>
      <c r="C63" s="98"/>
      <c r="D63" s="98"/>
      <c r="E63" s="98"/>
      <c r="F63" s="98"/>
      <c r="G63" s="121" t="s">
        <v>75</v>
      </c>
      <c r="I63" s="146">
        <f>'[2]2014-2015'!$C$14</f>
        <v>0</v>
      </c>
      <c r="J63" s="38"/>
      <c r="K63" s="38"/>
      <c r="Y63" s="14"/>
    </row>
    <row r="64" spans="1:6" s="16" customFormat="1" ht="9.75">
      <c r="A64" s="99"/>
      <c r="B64" s="98"/>
      <c r="C64" s="98"/>
      <c r="D64" s="98"/>
      <c r="E64" s="98"/>
      <c r="F64" s="98"/>
    </row>
    <row r="65" spans="1:9" s="16" customFormat="1" ht="9.75" hidden="1">
      <c r="A65" s="100"/>
      <c r="B65" s="101"/>
      <c r="C65" s="98"/>
      <c r="D65" s="102"/>
      <c r="E65" s="98"/>
      <c r="F65" s="94"/>
      <c r="G65" s="121" t="s">
        <v>76</v>
      </c>
      <c r="I65" s="146">
        <v>292961.99994565477</v>
      </c>
    </row>
    <row r="66" spans="1:9" s="16" customFormat="1" ht="9.75" hidden="1">
      <c r="A66" s="103"/>
      <c r="B66" s="104"/>
      <c r="C66" s="105"/>
      <c r="D66" s="94"/>
      <c r="E66" s="33"/>
      <c r="F66" s="94"/>
      <c r="G66" s="121" t="s">
        <v>77</v>
      </c>
      <c r="I66" s="146">
        <v>56929</v>
      </c>
    </row>
    <row r="67" spans="1:25" s="14" customFormat="1" ht="9.75">
      <c r="A67" s="103"/>
      <c r="B67" s="104"/>
      <c r="C67" s="33"/>
      <c r="D67" s="94"/>
      <c r="E67" s="33"/>
      <c r="F67" s="94"/>
      <c r="G67" s="16"/>
      <c r="H67" s="16"/>
      <c r="I67" s="16"/>
      <c r="X67" s="16"/>
      <c r="Y67" s="16"/>
    </row>
    <row r="68" spans="1:9" s="16" customFormat="1" ht="9.75">
      <c r="A68" s="103"/>
      <c r="B68" s="33"/>
      <c r="C68" s="33"/>
      <c r="D68" s="94"/>
      <c r="E68" s="33"/>
      <c r="F68" s="94"/>
      <c r="G68" s="121" t="s">
        <v>78</v>
      </c>
      <c r="I68" s="132">
        <f>'[2]2014-2015'!$C$14</f>
        <v>0</v>
      </c>
    </row>
    <row r="69" spans="1:9" s="16" customFormat="1" ht="9.75">
      <c r="A69" s="103"/>
      <c r="B69" s="33"/>
      <c r="C69" s="105"/>
      <c r="D69" s="94"/>
      <c r="E69" s="33"/>
      <c r="F69" s="94"/>
      <c r="G69" s="14"/>
      <c r="H69" s="14"/>
      <c r="I69" s="14"/>
    </row>
    <row r="70" spans="1:9" s="16" customFormat="1" ht="9.75">
      <c r="A70" s="103"/>
      <c r="B70" s="33"/>
      <c r="C70" s="33"/>
      <c r="D70" s="94"/>
      <c r="E70" s="33"/>
      <c r="F70" s="94"/>
      <c r="G70" s="121" t="s">
        <v>79</v>
      </c>
      <c r="I70" s="21">
        <f>I68/(B17*12)</f>
        <v>0</v>
      </c>
    </row>
    <row r="71" spans="1:6" s="16" customFormat="1" ht="9.75">
      <c r="A71" s="103"/>
      <c r="B71" s="104"/>
      <c r="C71" s="33"/>
      <c r="D71" s="94"/>
      <c r="E71" s="33"/>
      <c r="F71" s="94"/>
    </row>
    <row r="72" spans="1:9" s="16" customFormat="1" ht="10.5" thickBot="1">
      <c r="A72" s="103"/>
      <c r="B72" s="104"/>
      <c r="C72" s="33"/>
      <c r="D72" s="94"/>
      <c r="E72" s="33"/>
      <c r="F72" s="94"/>
      <c r="G72" s="30" t="str">
        <f>$K$22+1&amp;" Net Credit"</f>
        <v>2016 Net Credit</v>
      </c>
      <c r="H72" s="25"/>
      <c r="I72" s="145">
        <f>+I58+I70</f>
        <v>0.29264621023035864</v>
      </c>
    </row>
    <row r="73" spans="1:25" s="16" customFormat="1" ht="10.5" thickTop="1">
      <c r="A73" s="103"/>
      <c r="B73" s="104"/>
      <c r="C73" s="33"/>
      <c r="D73" s="94"/>
      <c r="E73" s="33"/>
      <c r="F73" s="94"/>
      <c r="Y73" s="14"/>
    </row>
    <row r="74" spans="1:9" s="16" customFormat="1" ht="9.75">
      <c r="A74" s="103"/>
      <c r="B74" s="104"/>
      <c r="C74" s="33"/>
      <c r="D74" s="94"/>
      <c r="E74" s="33"/>
      <c r="F74" s="94"/>
      <c r="G74" s="121" t="s">
        <v>73</v>
      </c>
      <c r="I74" s="147">
        <f>+I72*3.5</f>
        <v>1.0242617358062551</v>
      </c>
    </row>
    <row r="75" spans="1:9" s="16" customFormat="1" ht="9.75">
      <c r="A75" s="103"/>
      <c r="B75" s="104"/>
      <c r="C75" s="33"/>
      <c r="D75" s="94"/>
      <c r="E75" s="33"/>
      <c r="F75" s="94"/>
      <c r="G75" s="121" t="s">
        <v>74</v>
      </c>
      <c r="I75" s="16">
        <f>I72*5</f>
        <v>1.4632310511517932</v>
      </c>
    </row>
    <row r="76" spans="1:6" s="16" customFormat="1" ht="9.75">
      <c r="A76" s="103"/>
      <c r="B76" s="104"/>
      <c r="C76" s="33"/>
      <c r="D76" s="94"/>
      <c r="E76" s="33"/>
      <c r="F76" s="94"/>
    </row>
    <row r="77" spans="1:27" s="16" customFormat="1" ht="9.75">
      <c r="A77" s="103"/>
      <c r="B77" s="104"/>
      <c r="C77" s="33"/>
      <c r="D77" s="94"/>
      <c r="E77" s="33"/>
      <c r="F77" s="94"/>
      <c r="G77" s="14"/>
      <c r="H77" s="13"/>
      <c r="I77" s="14"/>
      <c r="J77" s="14"/>
      <c r="K77" s="13"/>
      <c r="L77" s="14"/>
      <c r="M77" s="14"/>
      <c r="N77" s="14"/>
      <c r="O77" s="14"/>
      <c r="P77" s="14"/>
      <c r="Q77" s="14"/>
      <c r="R77" s="14"/>
      <c r="S77" s="14"/>
      <c r="T77" s="14"/>
      <c r="U77" s="14"/>
      <c r="V77" s="13"/>
      <c r="W77" s="14"/>
      <c r="AA77" s="14"/>
    </row>
    <row r="78" spans="1:6" s="16" customFormat="1" ht="9.75">
      <c r="A78" s="103"/>
      <c r="B78" s="104"/>
      <c r="C78" s="33"/>
      <c r="D78" s="94"/>
      <c r="E78" s="33"/>
      <c r="F78" s="94"/>
    </row>
    <row r="79" spans="1:6" s="16" customFormat="1" ht="9.75">
      <c r="A79" s="103"/>
      <c r="B79" s="104"/>
      <c r="C79" s="33"/>
      <c r="D79" s="94"/>
      <c r="E79" s="33"/>
      <c r="F79" s="94"/>
    </row>
    <row r="80" spans="1:6" s="16" customFormat="1" ht="9.75">
      <c r="A80" s="103"/>
      <c r="B80" s="33"/>
      <c r="C80" s="33"/>
      <c r="D80" s="94"/>
      <c r="E80" s="33"/>
      <c r="F80" s="94"/>
    </row>
    <row r="81" spans="1:6" s="16" customFormat="1" ht="9.75">
      <c r="A81" s="103"/>
      <c r="B81" s="33"/>
      <c r="C81" s="105"/>
      <c r="D81" s="94"/>
      <c r="E81" s="33"/>
      <c r="F81" s="94"/>
    </row>
    <row r="82" spans="1:25" s="16" customFormat="1" ht="12">
      <c r="A82" s="106"/>
      <c r="B82" s="106"/>
      <c r="C82" s="106"/>
      <c r="D82" s="107"/>
      <c r="E82" s="106"/>
      <c r="F82" s="106"/>
      <c r="Y82" s="14"/>
    </row>
    <row r="83" spans="1:6" s="16" customFormat="1" ht="9.75">
      <c r="A83" s="108"/>
      <c r="B83" s="33"/>
      <c r="C83" s="105"/>
      <c r="D83" s="94"/>
      <c r="E83" s="105"/>
      <c r="F83" s="109"/>
    </row>
    <row r="84" s="16" customFormat="1" ht="9.75"/>
    <row r="85" s="16" customFormat="1" ht="9.75"/>
    <row r="86" s="16" customFormat="1" ht="9.75">
      <c r="B86" s="8"/>
    </row>
    <row r="87" spans="2:25" s="14" customFormat="1" ht="9.75">
      <c r="B87" s="29"/>
      <c r="X87" s="16"/>
      <c r="Y87" s="16"/>
    </row>
    <row r="88" s="16" customFormat="1" ht="9.75"/>
    <row r="89" s="16" customFormat="1" ht="9.75"/>
    <row r="90" s="16" customFormat="1" ht="9.75"/>
    <row r="91" s="16" customFormat="1" ht="9.75"/>
    <row r="92" s="16" customFormat="1" ht="9.75"/>
    <row r="93" s="16" customFormat="1" ht="9.75"/>
    <row r="94" s="16" customFormat="1" ht="9.75"/>
    <row r="95" s="16" customFormat="1" ht="9.75"/>
    <row r="96" s="16" customFormat="1" ht="9.75">
      <c r="A96" s="6"/>
    </row>
    <row r="97" s="16" customFormat="1" ht="12">
      <c r="AA97" s="5"/>
    </row>
    <row r="98" s="16" customFormat="1" ht="12">
      <c r="AA98" s="5"/>
    </row>
    <row r="99" s="16" customFormat="1" ht="12">
      <c r="AA99" s="5"/>
    </row>
    <row r="100" s="16" customFormat="1" ht="12">
      <c r="AA100" s="5"/>
    </row>
    <row r="101" spans="7:27" s="16" customFormat="1" ht="12">
      <c r="G101" s="39"/>
      <c r="I101" s="39"/>
      <c r="J101" s="39"/>
      <c r="L101" s="39"/>
      <c r="M101" s="39"/>
      <c r="N101" s="39"/>
      <c r="O101" s="39"/>
      <c r="P101" s="39"/>
      <c r="Q101" s="39"/>
      <c r="R101" s="39"/>
      <c r="S101" s="39"/>
      <c r="T101" s="39"/>
      <c r="U101" s="39"/>
      <c r="V101" s="39"/>
      <c r="W101" s="39"/>
      <c r="X101" s="39"/>
      <c r="Y101" s="39"/>
      <c r="AA101" s="5"/>
    </row>
    <row r="102" s="16" customFormat="1" ht="12">
      <c r="AA102" s="5"/>
    </row>
    <row r="103" spans="7:27" s="16" customFormat="1" ht="12.75" thickBot="1">
      <c r="G103" s="40"/>
      <c r="I103" s="40"/>
      <c r="J103" s="40"/>
      <c r="L103" s="40"/>
      <c r="M103" s="40"/>
      <c r="N103" s="40"/>
      <c r="O103" s="40"/>
      <c r="P103" s="40"/>
      <c r="Q103" s="40"/>
      <c r="R103" s="40"/>
      <c r="S103" s="40"/>
      <c r="T103" s="40"/>
      <c r="U103" s="40"/>
      <c r="V103" s="40"/>
      <c r="W103" s="40"/>
      <c r="X103" s="40"/>
      <c r="Y103" s="40"/>
      <c r="AA103" s="5"/>
    </row>
    <row r="104" ht="12.75" thickTop="1"/>
    <row r="105" spans="23:25" ht="12">
      <c r="W105" s="41"/>
      <c r="X105" s="41"/>
      <c r="Y105" s="41"/>
    </row>
    <row r="106" spans="23:27" ht="12">
      <c r="W106" s="41"/>
      <c r="AA106" s="41"/>
    </row>
  </sheetData>
  <sheetProtection/>
  <printOptions horizontalCentered="1"/>
  <pageMargins left="0" right="0" top="0.26" bottom="0.33" header="0" footer="0"/>
  <pageSetup fitToHeight="1" fitToWidth="1" horizontalDpi="300" verticalDpi="300" orientation="portrait" scale="58" r:id="rId4"/>
  <headerFooter alignWithMargins="0">
    <oddFooter>&amp;R&amp;"Helv,Regular"&amp;6\\SERVER1\DPUBLIC\EXCEL\WUTC\&amp;F, &amp;A, &amp;D, &amp;T, Page &amp;P of &amp;N</oddFooter>
  </headerFooter>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R118"/>
  <sheetViews>
    <sheetView showGridLines="0" zoomScalePageLayoutView="0" workbookViewId="0" topLeftCell="A1">
      <selection activeCell="Q6" sqref="Q6"/>
    </sheetView>
  </sheetViews>
  <sheetFormatPr defaultColWidth="9.140625" defaultRowHeight="12.75"/>
  <cols>
    <col min="1" max="1" width="8.140625" style="0" customWidth="1"/>
    <col min="2" max="2" width="2.140625" style="0" customWidth="1"/>
    <col min="3" max="13" width="11.7109375" style="0" customWidth="1"/>
    <col min="14" max="14" width="2.8515625" style="0" customWidth="1"/>
    <col min="15" max="15" width="9.7109375" style="57" customWidth="1"/>
    <col min="16" max="16" width="14.57421875" style="0" bestFit="1" customWidth="1"/>
    <col min="17" max="17" width="9.7109375" style="0" customWidth="1"/>
  </cols>
  <sheetData>
    <row r="1" spans="1:2" ht="12.75">
      <c r="A1" s="42" t="s">
        <v>28</v>
      </c>
      <c r="B1" s="43"/>
    </row>
    <row r="2" spans="1:2" ht="12.75">
      <c r="A2" s="44" t="str">
        <f>'WUTC_AW of Lynnwood_MF'!A1</f>
        <v>Rabanco Ltd (dba Allied Waste of Lynnwood)</v>
      </c>
      <c r="B2" s="44"/>
    </row>
    <row r="3" ht="12.75">
      <c r="B3" s="55"/>
    </row>
    <row r="4" spans="2:15" ht="12.75">
      <c r="B4" s="55"/>
      <c r="C4" s="55"/>
      <c r="D4" s="55"/>
      <c r="E4" s="55"/>
      <c r="F4" s="55"/>
      <c r="G4" s="55"/>
      <c r="H4" s="55"/>
      <c r="I4" s="55"/>
      <c r="J4" s="55"/>
      <c r="K4" s="55"/>
      <c r="L4" s="55"/>
      <c r="M4" s="55"/>
      <c r="O4" s="58" t="str">
        <f>+TEXT(P18,"00.0%")&amp;" of"</f>
        <v>47.4% of</v>
      </c>
    </row>
    <row r="5" spans="2:17" ht="12.75">
      <c r="B5" s="55"/>
      <c r="C5" s="46" t="s">
        <v>15</v>
      </c>
      <c r="D5" s="46" t="s">
        <v>16</v>
      </c>
      <c r="E5" s="46" t="s">
        <v>27</v>
      </c>
      <c r="F5" s="46" t="s">
        <v>17</v>
      </c>
      <c r="G5" s="46" t="s">
        <v>18</v>
      </c>
      <c r="H5" s="46" t="s">
        <v>19</v>
      </c>
      <c r="I5" s="46" t="s">
        <v>20</v>
      </c>
      <c r="J5" s="46" t="s">
        <v>21</v>
      </c>
      <c r="K5" s="46" t="s">
        <v>22</v>
      </c>
      <c r="L5" s="46" t="s">
        <v>23</v>
      </c>
      <c r="M5" s="46" t="s">
        <v>24</v>
      </c>
      <c r="O5" s="58" t="s">
        <v>24</v>
      </c>
      <c r="P5" s="46" t="s">
        <v>91</v>
      </c>
      <c r="Q5" s="148" t="s">
        <v>90</v>
      </c>
    </row>
    <row r="6" spans="1:18" ht="15.75" customHeight="1">
      <c r="A6" s="50">
        <f>+Pricing!A4</f>
        <v>41760</v>
      </c>
      <c r="B6" s="55"/>
      <c r="C6" s="56">
        <f>'Commodity Tonnages'!C6*Pricing!C4</f>
        <v>708.575973</v>
      </c>
      <c r="D6" s="60">
        <f>'Commodity Tonnages'!D6*Pricing!D4</f>
        <v>-235.21033536000002</v>
      </c>
      <c r="E6" s="60">
        <f>'Commodity Tonnages'!E6*Pricing!E4</f>
        <v>0</v>
      </c>
      <c r="F6" s="60">
        <f>'Commodity Tonnages'!F6*Pricing!F4</f>
        <v>115.95955140000001</v>
      </c>
      <c r="G6" s="60">
        <f>'Commodity Tonnages'!G6*Pricing!G4</f>
        <v>1283.44398</v>
      </c>
      <c r="H6" s="60">
        <f>'Commodity Tonnages'!H6*Pricing!H4</f>
        <v>1976.1528186399996</v>
      </c>
      <c r="I6" s="60">
        <f>'Commodity Tonnages'!I6*Pricing!I4</f>
        <v>372.03797862000005</v>
      </c>
      <c r="J6" s="60">
        <f>'Commodity Tonnages'!J6*Pricing!J4</f>
        <v>372.03797862000005</v>
      </c>
      <c r="K6" s="60">
        <f>'Commodity Tonnages'!K6*Pricing!K4</f>
        <v>1554.56077392</v>
      </c>
      <c r="L6" s="60">
        <f>'Commodity Tonnages'!L6*Pricing!L4</f>
        <v>-624.5297388400014</v>
      </c>
      <c r="M6" s="126">
        <f>SUM(C6:L6)</f>
        <v>5523.028979999999</v>
      </c>
      <c r="O6" s="80">
        <f>+M6-Q6</f>
        <v>2694.376279999999</v>
      </c>
      <c r="P6" s="149">
        <f>_xlfn.IFERROR(O6/M6,0)</f>
        <v>0.4878439511646378</v>
      </c>
      <c r="Q6" s="150">
        <f>'[1]Lynnwood MF Recycle Credits'!$L29</f>
        <v>2828.6527</v>
      </c>
      <c r="R6" s="59"/>
    </row>
    <row r="7" spans="1:18" ht="15.75" customHeight="1">
      <c r="A7" s="50">
        <f>+Pricing!A5</f>
        <v>41820</v>
      </c>
      <c r="B7" s="55"/>
      <c r="C7" s="56">
        <f>'Commodity Tonnages'!C7*Pricing!C5</f>
        <v>735.3362459999998</v>
      </c>
      <c r="D7" s="60">
        <f>'Commodity Tonnages'!D7*Pricing!D5</f>
        <v>-115.37264336000001</v>
      </c>
      <c r="E7" s="60">
        <f>'Commodity Tonnages'!E7*Pricing!E5</f>
        <v>0</v>
      </c>
      <c r="F7" s="60">
        <f>'Commodity Tonnages'!F7*Pricing!F5</f>
        <v>114.44438115</v>
      </c>
      <c r="G7" s="60">
        <f>'Commodity Tonnages'!G7*Pricing!G5</f>
        <v>1346.143812</v>
      </c>
      <c r="H7" s="60">
        <f>'Commodity Tonnages'!H7*Pricing!H5</f>
        <v>2056.6162055199998</v>
      </c>
      <c r="I7" s="60">
        <f>'Commodity Tonnages'!I7*Pricing!I5</f>
        <v>400.06189380500007</v>
      </c>
      <c r="J7" s="60">
        <f>'Commodity Tonnages'!J7*Pricing!J5</f>
        <v>400.06189380500007</v>
      </c>
      <c r="K7" s="60">
        <f>'Commodity Tonnages'!K7*Pricing!K5</f>
        <v>1593.5211567</v>
      </c>
      <c r="L7" s="60">
        <f>'Commodity Tonnages'!L7*Pricing!L5</f>
        <v>-666.2173126900014</v>
      </c>
      <c r="M7" s="126">
        <f aca="true" t="shared" si="0" ref="M7:M17">SUM(C7:L7)</f>
        <v>5864.595632929998</v>
      </c>
      <c r="O7" s="80">
        <f aca="true" t="shared" si="1" ref="O7:O17">+M7-Q7</f>
        <v>3340.967732929998</v>
      </c>
      <c r="P7" s="149">
        <f aca="true" t="shared" si="2" ref="P7:P17">_xlfn.IFERROR(O7/M7,0)</f>
        <v>0.5696842445829167</v>
      </c>
      <c r="Q7" s="150">
        <f>'[1]Lynnwood MF Recycle Credits'!$L30</f>
        <v>2523.6279</v>
      </c>
      <c r="R7" s="59"/>
    </row>
    <row r="8" spans="1:18" ht="15.75" customHeight="1">
      <c r="A8" s="50">
        <f>+Pricing!A6</f>
        <v>41851</v>
      </c>
      <c r="B8" s="51"/>
      <c r="C8" s="56">
        <f>'Commodity Tonnages'!C8*Pricing!C6</f>
        <v>792.5816609999999</v>
      </c>
      <c r="D8" s="60">
        <f>'Commodity Tonnages'!D8*Pricing!D6</f>
        <v>-131.17004160000002</v>
      </c>
      <c r="E8" s="60">
        <f>'Commodity Tonnages'!E8*Pricing!E6</f>
        <v>0</v>
      </c>
      <c r="F8" s="60">
        <f>'Commodity Tonnages'!F8*Pricing!F6</f>
        <v>118.79133750000001</v>
      </c>
      <c r="G8" s="60">
        <f>'Commodity Tonnages'!G8*Pricing!G6</f>
        <v>1417.2227550000002</v>
      </c>
      <c r="H8" s="60">
        <f>'Commodity Tonnages'!H8*Pricing!H6</f>
        <v>2149.35381672</v>
      </c>
      <c r="I8" s="60">
        <f>'Commodity Tonnages'!I8*Pricing!I6</f>
        <v>468.57936789000007</v>
      </c>
      <c r="J8" s="60">
        <f>'Commodity Tonnages'!J8*Pricing!J6</f>
        <v>468.57936789000007</v>
      </c>
      <c r="K8" s="60">
        <f>'Commodity Tonnages'!K8*Pricing!K6</f>
        <v>1768.11764976</v>
      </c>
      <c r="L8" s="60">
        <f>'Commodity Tonnages'!L8*Pricing!L6</f>
        <v>-695.6480272200016</v>
      </c>
      <c r="M8" s="126">
        <f t="shared" si="0"/>
        <v>6356.407886939998</v>
      </c>
      <c r="O8" s="80">
        <f t="shared" si="1"/>
        <v>3396.5072869399983</v>
      </c>
      <c r="P8" s="149">
        <f t="shared" si="2"/>
        <v>0.5343438223841062</v>
      </c>
      <c r="Q8" s="150">
        <f>'[1]Lynnwood MF Recycle Credits'!$L31</f>
        <v>2959.9006</v>
      </c>
      <c r="R8" s="59"/>
    </row>
    <row r="9" spans="1:18" ht="15.75" customHeight="1">
      <c r="A9" s="50">
        <f>+Pricing!A7</f>
        <v>41882</v>
      </c>
      <c r="B9" s="51"/>
      <c r="C9" s="56">
        <f>'Commodity Tonnages'!C9*Pricing!C7</f>
        <v>702.80387025</v>
      </c>
      <c r="D9" s="60">
        <f>'Commodity Tonnages'!D9*Pricing!D7</f>
        <v>-126.78227224000001</v>
      </c>
      <c r="E9" s="60">
        <f>'Commodity Tonnages'!E9*Pricing!E7</f>
        <v>0</v>
      </c>
      <c r="F9" s="60">
        <f>'Commodity Tonnages'!F9*Pricing!F7</f>
        <v>99.51968070000001</v>
      </c>
      <c r="G9" s="60">
        <f>'Commodity Tonnages'!G9*Pricing!G7</f>
        <v>1183.205595</v>
      </c>
      <c r="H9" s="60">
        <f>'Commodity Tonnages'!H9*Pricing!H7</f>
        <v>1802.1078678799997</v>
      </c>
      <c r="I9" s="60">
        <f>'Commodity Tonnages'!I9*Pricing!I7</f>
        <v>399.918510145</v>
      </c>
      <c r="J9" s="60">
        <f>'Commodity Tonnages'!J9*Pricing!J7</f>
        <v>399.918510145</v>
      </c>
      <c r="K9" s="60">
        <f>'Commodity Tonnages'!K9*Pricing!K7</f>
        <v>1452.30268194</v>
      </c>
      <c r="L9" s="60">
        <f>'Commodity Tonnages'!L9*Pricing!L7</f>
        <v>-586.6902487300013</v>
      </c>
      <c r="M9" s="126">
        <f t="shared" si="0"/>
        <v>5326.304195089999</v>
      </c>
      <c r="O9" s="80">
        <f t="shared" si="1"/>
        <v>2663.340345089999</v>
      </c>
      <c r="P9" s="149">
        <f t="shared" si="2"/>
        <v>0.5000353429954626</v>
      </c>
      <c r="Q9" s="150">
        <f>'[1]Lynnwood MF Recycle Credits'!$L32</f>
        <v>2662.9638499999996</v>
      </c>
      <c r="R9" s="59"/>
    </row>
    <row r="10" spans="1:18" ht="15.75" customHeight="1">
      <c r="A10" s="50">
        <f>+Pricing!A8</f>
        <v>41912</v>
      </c>
      <c r="B10" s="51"/>
      <c r="C10" s="56">
        <f>'Commodity Tonnages'!C10*Pricing!C8</f>
        <v>884.2889789999998</v>
      </c>
      <c r="D10" s="60">
        <f>'Commodity Tonnages'!D10*Pricing!D8</f>
        <v>47.094216</v>
      </c>
      <c r="E10" s="60">
        <f>'Commodity Tonnages'!E10*Pricing!E8</f>
        <v>0</v>
      </c>
      <c r="F10" s="60">
        <f>'Commodity Tonnages'!F10*Pricing!F8</f>
        <v>129.66574004999998</v>
      </c>
      <c r="G10" s="60">
        <f>'Commodity Tonnages'!G10*Pricing!G8</f>
        <v>1338.5891609999999</v>
      </c>
      <c r="H10" s="60">
        <f>'Commodity Tonnages'!H10*Pricing!H8</f>
        <v>2070.77880051</v>
      </c>
      <c r="I10" s="60">
        <f>'Commodity Tonnages'!I10*Pricing!I8</f>
        <v>547.78699542</v>
      </c>
      <c r="J10" s="60">
        <f>'Commodity Tonnages'!J10*Pricing!J8</f>
        <v>547.78699542</v>
      </c>
      <c r="K10" s="60">
        <f>'Commodity Tonnages'!K10*Pricing!K8</f>
        <v>1670.03982684</v>
      </c>
      <c r="L10" s="60">
        <f>'Commodity Tonnages'!L10*Pricing!L8</f>
        <v>-730.0669984500016</v>
      </c>
      <c r="M10" s="126">
        <f t="shared" si="0"/>
        <v>6505.963715789998</v>
      </c>
      <c r="O10" s="80">
        <f t="shared" si="1"/>
        <v>3253.176215789998</v>
      </c>
      <c r="P10" s="149">
        <f t="shared" si="2"/>
        <v>0.5000298738055559</v>
      </c>
      <c r="Q10" s="150">
        <f>'[1]Lynnwood MF Recycle Credits'!$L33</f>
        <v>3252.7875</v>
      </c>
      <c r="R10" s="59"/>
    </row>
    <row r="11" spans="1:18" ht="15.75" customHeight="1">
      <c r="A11" s="50">
        <f>+Pricing!A9</f>
        <v>41943</v>
      </c>
      <c r="B11" s="51"/>
      <c r="C11" s="56">
        <f>'Commodity Tonnages'!C11*Pricing!C9</f>
        <v>849.4374798</v>
      </c>
      <c r="D11" s="60">
        <f>'Commodity Tonnages'!D11*Pricing!D9</f>
        <v>17.700452224</v>
      </c>
      <c r="E11" s="60">
        <f>'Commodity Tonnages'!E11*Pricing!E9</f>
        <v>0</v>
      </c>
      <c r="F11" s="60">
        <f>'Commodity Tonnages'!F11*Pricing!F9</f>
        <v>102.95346599999999</v>
      </c>
      <c r="G11" s="60">
        <f>'Commodity Tonnages'!G11*Pricing!G9</f>
        <v>1344.4443012</v>
      </c>
      <c r="H11" s="60">
        <f>'Commodity Tonnages'!H11*Pricing!H9</f>
        <v>1967.9733577279997</v>
      </c>
      <c r="I11" s="60">
        <f>'Commodity Tonnages'!I11*Pricing!I9</f>
        <v>520.3503655</v>
      </c>
      <c r="J11" s="60">
        <f>'Commodity Tonnages'!J11*Pricing!J9</f>
        <v>520.3503655</v>
      </c>
      <c r="K11" s="60">
        <f>'Commodity Tonnages'!K11*Pricing!K9</f>
        <v>1711.065665232</v>
      </c>
      <c r="L11" s="60">
        <f>'Commodity Tonnages'!L11*Pricing!L9</f>
        <v>-717.7388783200016</v>
      </c>
      <c r="M11" s="126">
        <f t="shared" si="0"/>
        <v>6316.536574863999</v>
      </c>
      <c r="O11" s="80">
        <f t="shared" si="1"/>
        <v>3158.4609748639987</v>
      </c>
      <c r="P11" s="149">
        <f t="shared" si="2"/>
        <v>0.5000305052349046</v>
      </c>
      <c r="Q11" s="150">
        <f>'[1]Lynnwood MF Recycle Credits'!$L34</f>
        <v>3158.0756</v>
      </c>
      <c r="R11" s="59"/>
    </row>
    <row r="12" spans="1:18" ht="15.75" customHeight="1">
      <c r="A12" s="50">
        <f>+Pricing!A10</f>
        <v>41973</v>
      </c>
      <c r="B12" s="51"/>
      <c r="C12" s="56">
        <f>'Commodity Tonnages'!C12*Pricing!C10</f>
        <v>817.0008</v>
      </c>
      <c r="D12" s="60">
        <f>'Commodity Tonnages'!D12*Pricing!D10</f>
        <v>-46.178865824</v>
      </c>
      <c r="E12" s="60">
        <f>'Commodity Tonnages'!E12*Pricing!E10</f>
        <v>0</v>
      </c>
      <c r="F12" s="60">
        <f>'Commodity Tonnages'!F12*Pricing!F10</f>
        <v>77.11466301</v>
      </c>
      <c r="G12" s="60">
        <f>'Commodity Tonnages'!G12*Pricing!G10</f>
        <v>1099.2745764</v>
      </c>
      <c r="H12" s="60">
        <f>'Commodity Tonnages'!H12*Pricing!H10</f>
        <v>1603.9554052759997</v>
      </c>
      <c r="I12" s="60">
        <f>'Commodity Tonnages'!I12*Pricing!I10</f>
        <v>415.619416933</v>
      </c>
      <c r="J12" s="60">
        <f>'Commodity Tonnages'!J12*Pricing!J10</f>
        <v>415.619416933</v>
      </c>
      <c r="K12" s="60">
        <f>'Commodity Tonnages'!K12*Pricing!K10</f>
        <v>1466.9249364</v>
      </c>
      <c r="L12" s="60">
        <f>'Commodity Tonnages'!L12*Pricing!L10</f>
        <v>-630.0880820200015</v>
      </c>
      <c r="M12" s="126">
        <f t="shared" si="0"/>
        <v>5219.242267107998</v>
      </c>
      <c r="O12" s="80">
        <f t="shared" si="1"/>
        <v>2609.230817107997</v>
      </c>
      <c r="P12" s="149">
        <f t="shared" si="2"/>
        <v>0.49992521587885247</v>
      </c>
      <c r="Q12" s="150">
        <f>'[1]Lynnwood MF Recycle Credits'!$L35</f>
        <v>2610.0114500000004</v>
      </c>
      <c r="R12" s="59"/>
    </row>
    <row r="13" spans="1:18" ht="15.75" customHeight="1">
      <c r="A13" s="50">
        <f>+Pricing!A11</f>
        <v>42004</v>
      </c>
      <c r="B13" s="51"/>
      <c r="C13" s="56">
        <f>'Commodity Tonnages'!C13*Pricing!C11</f>
        <v>391.00425</v>
      </c>
      <c r="D13" s="60">
        <f>'Commodity Tonnages'!D13*Pricing!D11</f>
        <v>-36.923313336</v>
      </c>
      <c r="E13" s="60">
        <f>'Commodity Tonnages'!E13*Pricing!E11</f>
        <v>0</v>
      </c>
      <c r="F13" s="60">
        <f>'Commodity Tonnages'!F13*Pricing!F11</f>
        <v>38.52725877</v>
      </c>
      <c r="G13" s="60">
        <f>'Commodity Tonnages'!G13*Pricing!G11</f>
        <v>519.24904395</v>
      </c>
      <c r="H13" s="60">
        <f>'Commodity Tonnages'!H13*Pricing!H11</f>
        <v>757.3194796439999</v>
      </c>
      <c r="I13" s="60">
        <f>'Commodity Tonnages'!I13*Pricing!I11</f>
        <v>168.74501416500001</v>
      </c>
      <c r="J13" s="60">
        <f>'Commodity Tonnages'!J13*Pricing!J11</f>
        <v>168.74501416500001</v>
      </c>
      <c r="K13" s="60">
        <f>'Commodity Tonnages'!K13*Pricing!K11</f>
        <v>692.069794416</v>
      </c>
      <c r="L13" s="60">
        <f>'Commodity Tonnages'!L13*Pricing!L11</f>
        <v>-312.19360861000075</v>
      </c>
      <c r="M13" s="126">
        <f t="shared" si="0"/>
        <v>2386.542933163999</v>
      </c>
      <c r="O13" s="80">
        <f>+M13-Q13</f>
        <v>-577.9868168360008</v>
      </c>
      <c r="P13" s="149">
        <f t="shared" si="2"/>
        <v>-0.24218580307278412</v>
      </c>
      <c r="Q13" s="150">
        <f>'[1]Lynnwood MF Recycle Credits'!$L36</f>
        <v>2964.5297499999997</v>
      </c>
      <c r="R13" s="59"/>
    </row>
    <row r="14" spans="1:18" ht="15.75" customHeight="1">
      <c r="A14" s="50">
        <f>+Pricing!A12</f>
        <v>42035</v>
      </c>
      <c r="B14" s="51"/>
      <c r="C14" s="56">
        <f>'Commodity Tonnages'!C14*Pricing!C12</f>
        <v>735.9324</v>
      </c>
      <c r="D14" s="60">
        <f>'Commodity Tonnages'!D14*Pricing!D12</f>
        <v>-61.707528063999995</v>
      </c>
      <c r="E14" s="60">
        <f>'Commodity Tonnages'!E14*Pricing!E12</f>
        <v>0</v>
      </c>
      <c r="F14" s="60">
        <f>'Commodity Tonnages'!F14*Pricing!F12</f>
        <v>77.622237</v>
      </c>
      <c r="G14" s="60">
        <f>'Commodity Tonnages'!G14*Pricing!G12</f>
        <v>1022.4709404</v>
      </c>
      <c r="H14" s="60">
        <f>'Commodity Tonnages'!H14*Pricing!H12</f>
        <v>1520.4639125759995</v>
      </c>
      <c r="I14" s="60">
        <f>'Commodity Tonnages'!I14*Pricing!I12</f>
        <v>259.913251416</v>
      </c>
      <c r="J14" s="60">
        <f>'Commodity Tonnages'!J14*Pricing!J12</f>
        <v>259.913251416</v>
      </c>
      <c r="K14" s="60">
        <f>'Commodity Tonnages'!K14*Pricing!K12</f>
        <v>1354.03922808</v>
      </c>
      <c r="L14" s="60">
        <f>'Commodity Tonnages'!L14*Pricing!L12</f>
        <v>-632.2259063200014</v>
      </c>
      <c r="M14" s="126">
        <f t="shared" si="0"/>
        <v>4536.421786503998</v>
      </c>
      <c r="O14" s="80">
        <f t="shared" si="1"/>
        <v>1852.096786503998</v>
      </c>
      <c r="P14" s="149">
        <f t="shared" si="2"/>
        <v>0.40827261521714003</v>
      </c>
      <c r="Q14" s="150">
        <f>'[1]Lynnwood MF Recycle Credits'!$L37</f>
        <v>2684.3250000000003</v>
      </c>
      <c r="R14" s="59"/>
    </row>
    <row r="15" spans="1:18" ht="15.75" customHeight="1">
      <c r="A15" s="50">
        <f>+Pricing!A13</f>
        <v>42063</v>
      </c>
      <c r="B15" s="51"/>
      <c r="C15" s="56">
        <f>'Commodity Tonnages'!C15*Pricing!C13</f>
        <v>619.0430111249999</v>
      </c>
      <c r="D15" s="60">
        <f>'Commodity Tonnages'!D15*Pricing!D13</f>
        <v>-121.41561431999999</v>
      </c>
      <c r="E15" s="60">
        <f>'Commodity Tonnages'!E15*Pricing!E13</f>
        <v>0</v>
      </c>
      <c r="F15" s="60">
        <f>'Commodity Tonnages'!F15*Pricing!F13</f>
        <v>48.605836124999996</v>
      </c>
      <c r="G15" s="60">
        <f>'Commodity Tonnages'!G15*Pricing!G13</f>
        <v>859.8489899999997</v>
      </c>
      <c r="H15" s="60">
        <f>'Commodity Tonnages'!H15*Pricing!H13</f>
        <v>1260.1008358399997</v>
      </c>
      <c r="I15" s="60">
        <f>'Commodity Tonnages'!I15*Pricing!I13</f>
        <v>176.32809097749998</v>
      </c>
      <c r="J15" s="60">
        <f>'Commodity Tonnages'!J15*Pricing!J13</f>
        <v>176.32809097749998</v>
      </c>
      <c r="K15" s="60">
        <f>'Commodity Tonnages'!K15*Pricing!K13</f>
        <v>986.1597622799999</v>
      </c>
      <c r="L15" s="60">
        <f>'Commodity Tonnages'!L15*Pricing!L13</f>
        <v>-536.9502033500012</v>
      </c>
      <c r="M15" s="126">
        <f t="shared" si="0"/>
        <v>3468.048799654998</v>
      </c>
      <c r="O15" s="80">
        <f t="shared" si="1"/>
        <v>1734.0243998274993</v>
      </c>
      <c r="P15" s="149">
        <f t="shared" si="2"/>
        <v>0.5000000000000001</v>
      </c>
      <c r="Q15" s="150">
        <f>'[1]Lynnwood MF Recycle Credits'!$L38</f>
        <v>1734.0243998274989</v>
      </c>
      <c r="R15" s="59"/>
    </row>
    <row r="16" spans="1:18" ht="15.75" customHeight="1">
      <c r="A16" s="50">
        <f>+Pricing!A14</f>
        <v>42094</v>
      </c>
      <c r="B16" s="51"/>
      <c r="C16" s="56">
        <f>'Commodity Tonnages'!C16*Pricing!C14</f>
        <v>675.3965179499999</v>
      </c>
      <c r="D16" s="60">
        <f>'Commodity Tonnages'!D16*Pricing!D14</f>
        <v>-79.423697808</v>
      </c>
      <c r="E16" s="60">
        <f>'Commodity Tonnages'!E16*Pricing!E14</f>
        <v>0</v>
      </c>
      <c r="F16" s="60">
        <f>'Commodity Tonnages'!F16*Pricing!F14</f>
        <v>56.730910005</v>
      </c>
      <c r="G16" s="60">
        <f>'Commodity Tonnages'!G16*Pricing!G14</f>
        <v>1010.5837559999999</v>
      </c>
      <c r="H16" s="60">
        <f>'Commodity Tonnages'!H16*Pricing!H14</f>
        <v>1560.5672657399996</v>
      </c>
      <c r="I16" s="60">
        <f>'Commodity Tonnages'!I16*Pricing!I14</f>
        <v>231.578851833</v>
      </c>
      <c r="J16" s="60">
        <f>'Commodity Tonnages'!J16*Pricing!J14</f>
        <v>231.578851833</v>
      </c>
      <c r="K16" s="60">
        <f>'Commodity Tonnages'!K16*Pricing!K14</f>
        <v>1105.7402788739998</v>
      </c>
      <c r="L16" s="60">
        <f>'Commodity Tonnages'!L16*Pricing!L14</f>
        <v>-616.3347456900013</v>
      </c>
      <c r="M16" s="126">
        <f t="shared" si="0"/>
        <v>4176.417988736998</v>
      </c>
      <c r="O16" s="80">
        <f t="shared" si="1"/>
        <v>2087.8754887369982</v>
      </c>
      <c r="P16" s="149">
        <f t="shared" si="2"/>
        <v>0.4999201455332296</v>
      </c>
      <c r="Q16" s="150">
        <f>'[1]Lynnwood MF Recycle Credits'!$L39</f>
        <v>2088.5425</v>
      </c>
      <c r="R16" s="59"/>
    </row>
    <row r="17" spans="1:18" ht="15.75" customHeight="1">
      <c r="A17" s="50">
        <f>+Pricing!A15</f>
        <v>42124</v>
      </c>
      <c r="B17" s="51"/>
      <c r="C17" s="56">
        <f>'Commodity Tonnages'!C17*Pricing!C15</f>
        <v>642.239154375</v>
      </c>
      <c r="D17" s="60">
        <f>'Commodity Tonnages'!D17*Pricing!D15</f>
        <v>-217.344218</v>
      </c>
      <c r="E17" s="60">
        <f>'Commodity Tonnages'!E17*Pricing!E15</f>
        <v>0</v>
      </c>
      <c r="F17" s="60">
        <f>'Commodity Tonnages'!F17*Pricing!F15</f>
        <v>57.18202875</v>
      </c>
      <c r="G17" s="60">
        <f>'Commodity Tonnages'!G17*Pricing!G15</f>
        <v>1054.6382437500001</v>
      </c>
      <c r="H17" s="60">
        <f>'Commodity Tonnages'!H17*Pricing!H15</f>
        <v>1592.3235194999997</v>
      </c>
      <c r="I17" s="60">
        <f>'Commodity Tonnages'!I17*Pricing!I15</f>
        <v>283.6244378625</v>
      </c>
      <c r="J17" s="60">
        <f>'Commodity Tonnages'!J17*Pricing!J15</f>
        <v>283.6244378625</v>
      </c>
      <c r="K17" s="60">
        <f>'Commodity Tonnages'!K17*Pricing!K15</f>
        <v>1258.79967675</v>
      </c>
      <c r="L17" s="60">
        <f>'Commodity Tonnages'!L17*Pricing!L15</f>
        <v>-628.8766482500014</v>
      </c>
      <c r="M17" s="126">
        <f t="shared" si="0"/>
        <v>4326.2106325999985</v>
      </c>
      <c r="O17" s="80">
        <f t="shared" si="1"/>
        <v>2242.8606325999986</v>
      </c>
      <c r="P17" s="149">
        <f t="shared" si="2"/>
        <v>0.5184353752216793</v>
      </c>
      <c r="Q17" s="150">
        <f>'[1]Lynnwood MF Recycle Credits'!$L40</f>
        <v>2083.35</v>
      </c>
      <c r="R17" s="59"/>
    </row>
    <row r="18" spans="1:17" ht="15.75" customHeight="1">
      <c r="A18" s="54" t="s">
        <v>26</v>
      </c>
      <c r="B18" s="51"/>
      <c r="C18" s="123">
        <f aca="true" t="shared" si="3" ref="C18:L18">SUM(C6:C17)</f>
        <v>8553.640342499999</v>
      </c>
      <c r="D18" s="124">
        <f t="shared" si="3"/>
        <v>-1106.7338616880002</v>
      </c>
      <c r="E18" s="124">
        <f t="shared" si="3"/>
        <v>0</v>
      </c>
      <c r="F18" s="123">
        <f t="shared" si="3"/>
        <v>1037.11709046</v>
      </c>
      <c r="G18" s="123">
        <f t="shared" si="3"/>
        <v>13479.1151547</v>
      </c>
      <c r="H18" s="123">
        <f t="shared" si="3"/>
        <v>20317.713285574</v>
      </c>
      <c r="I18" s="123">
        <f t="shared" si="3"/>
        <v>4244.5441745670005</v>
      </c>
      <c r="J18" s="123">
        <f t="shared" si="3"/>
        <v>4244.5441745670005</v>
      </c>
      <c r="K18" s="123">
        <f t="shared" si="3"/>
        <v>16613.341431192002</v>
      </c>
      <c r="L18" s="124">
        <f t="shared" si="3"/>
        <v>-7377.560398490016</v>
      </c>
      <c r="M18" s="127">
        <f>SUM(C18:L18)</f>
        <v>60005.721393381995</v>
      </c>
      <c r="O18" s="125">
        <f>SUM(O6:O17)</f>
        <v>28454.930143554477</v>
      </c>
      <c r="P18" s="134">
        <f>+O18/M18</f>
        <v>0.47420361730194543</v>
      </c>
      <c r="Q18" s="125">
        <f>+M18-O18</f>
        <v>31550.79124982752</v>
      </c>
    </row>
    <row r="19" spans="1:15" ht="12.75">
      <c r="A19" s="51"/>
      <c r="B19" s="51"/>
      <c r="C19" s="56"/>
      <c r="D19" s="56"/>
      <c r="E19" s="56"/>
      <c r="F19" s="56"/>
      <c r="G19" s="56"/>
      <c r="H19" s="56"/>
      <c r="I19" s="56"/>
      <c r="J19" s="56"/>
      <c r="K19" s="56"/>
      <c r="L19" s="56"/>
      <c r="M19" s="56"/>
      <c r="O19" s="62"/>
    </row>
    <row r="20" spans="1:15" ht="12.75">
      <c r="A20" s="51"/>
      <c r="B20" s="51"/>
      <c r="C20" s="51"/>
      <c r="D20" s="51"/>
      <c r="E20" s="51"/>
      <c r="F20" s="51"/>
      <c r="G20" s="51"/>
      <c r="H20" s="51"/>
      <c r="I20" s="51"/>
      <c r="J20" s="51"/>
      <c r="K20" s="51"/>
      <c r="L20" s="51"/>
      <c r="M20" s="52"/>
      <c r="O20" s="63"/>
    </row>
    <row r="21" spans="1:15" ht="12.75">
      <c r="A21" s="51"/>
      <c r="B21" s="51"/>
      <c r="C21" s="51"/>
      <c r="D21" s="51"/>
      <c r="E21" s="51"/>
      <c r="F21" s="51"/>
      <c r="G21" s="51"/>
      <c r="H21" s="51"/>
      <c r="I21" s="51"/>
      <c r="J21" s="51"/>
      <c r="K21" s="51"/>
      <c r="L21" s="51"/>
      <c r="M21" s="52"/>
      <c r="O21" s="64"/>
    </row>
    <row r="22" spans="1:13" ht="12.75">
      <c r="A22" s="51"/>
      <c r="B22" s="51"/>
      <c r="C22" s="51"/>
      <c r="D22" s="51"/>
      <c r="E22" s="51"/>
      <c r="F22" s="51"/>
      <c r="G22" s="51"/>
      <c r="H22" s="51"/>
      <c r="I22" s="51"/>
      <c r="J22" s="51"/>
      <c r="K22" s="51"/>
      <c r="L22" s="51"/>
      <c r="M22" s="52"/>
    </row>
    <row r="23" spans="1:13" ht="12.75">
      <c r="A23" s="51"/>
      <c r="B23" s="51"/>
      <c r="C23" s="51"/>
      <c r="D23" s="51"/>
      <c r="E23" s="51"/>
      <c r="F23" s="51"/>
      <c r="G23" s="51"/>
      <c r="H23" s="51"/>
      <c r="I23" s="51"/>
      <c r="J23" s="51"/>
      <c r="K23" s="51"/>
      <c r="L23" s="51"/>
      <c r="M23" s="52"/>
    </row>
    <row r="24" spans="1:13" ht="12.75">
      <c r="A24" s="51"/>
      <c r="B24" s="51"/>
      <c r="C24" s="51"/>
      <c r="D24" s="51"/>
      <c r="E24" s="51"/>
      <c r="F24" s="51"/>
      <c r="G24" s="51"/>
      <c r="H24" s="51"/>
      <c r="I24" s="51"/>
      <c r="J24" s="51"/>
      <c r="K24" s="51"/>
      <c r="L24" s="51"/>
      <c r="M24" s="52"/>
    </row>
    <row r="25" spans="1:13" ht="12.75">
      <c r="A25" s="51"/>
      <c r="B25" s="51"/>
      <c r="C25" s="51"/>
      <c r="D25" s="51"/>
      <c r="E25" s="51"/>
      <c r="F25" s="51"/>
      <c r="G25" s="51"/>
      <c r="H25" s="51"/>
      <c r="I25" s="51"/>
      <c r="J25" s="51"/>
      <c r="K25" s="51"/>
      <c r="L25" s="51"/>
      <c r="M25" s="52"/>
    </row>
    <row r="26" spans="1:13" ht="12.75">
      <c r="A26" s="51"/>
      <c r="B26" s="51"/>
      <c r="C26" s="51"/>
      <c r="D26" s="51"/>
      <c r="E26" s="51"/>
      <c r="F26" s="51"/>
      <c r="G26" s="51"/>
      <c r="H26" s="51"/>
      <c r="I26" s="51"/>
      <c r="J26" s="51"/>
      <c r="K26" s="51"/>
      <c r="L26" s="51"/>
      <c r="M26" s="52"/>
    </row>
    <row r="27" spans="1:13" ht="12.75">
      <c r="A27" s="51"/>
      <c r="B27" s="51"/>
      <c r="C27" s="51"/>
      <c r="D27" s="51"/>
      <c r="E27" s="51"/>
      <c r="F27" s="51"/>
      <c r="G27" s="51"/>
      <c r="H27" s="51"/>
      <c r="I27" s="51"/>
      <c r="J27" s="51"/>
      <c r="K27" s="51"/>
      <c r="L27" s="51"/>
      <c r="M27" s="52"/>
    </row>
    <row r="28" spans="1:13" ht="12.75">
      <c r="A28" s="51"/>
      <c r="B28" s="51"/>
      <c r="C28" s="51"/>
      <c r="D28" s="51"/>
      <c r="E28" s="51"/>
      <c r="F28" s="51"/>
      <c r="G28" s="51"/>
      <c r="H28" s="51"/>
      <c r="I28" s="51"/>
      <c r="J28" s="51"/>
      <c r="K28" s="51"/>
      <c r="L28" s="51"/>
      <c r="M28" s="51"/>
    </row>
    <row r="29" spans="1:13" ht="12.75">
      <c r="A29" s="51"/>
      <c r="B29" s="51"/>
      <c r="C29" s="51"/>
      <c r="D29" s="51"/>
      <c r="E29" s="51"/>
      <c r="F29" s="51"/>
      <c r="G29" s="51"/>
      <c r="H29" s="51"/>
      <c r="I29" s="51"/>
      <c r="J29" s="51"/>
      <c r="K29" s="51"/>
      <c r="L29" s="51"/>
      <c r="M29" s="51"/>
    </row>
    <row r="30" spans="1:13" ht="12.75">
      <c r="A30" s="51"/>
      <c r="B30" s="51"/>
      <c r="C30" s="51"/>
      <c r="D30" s="51"/>
      <c r="E30" s="51"/>
      <c r="F30" s="51"/>
      <c r="G30" s="51"/>
      <c r="H30" s="51"/>
      <c r="I30" s="51"/>
      <c r="J30" s="51"/>
      <c r="K30" s="51"/>
      <c r="L30" s="51"/>
      <c r="M30" s="51"/>
    </row>
    <row r="31" spans="1:13" ht="12.75">
      <c r="A31" s="51"/>
      <c r="B31" s="51"/>
      <c r="C31" s="51"/>
      <c r="D31" s="51"/>
      <c r="E31" s="51"/>
      <c r="F31" s="51"/>
      <c r="G31" s="51"/>
      <c r="H31" s="51"/>
      <c r="I31" s="51"/>
      <c r="J31" s="51"/>
      <c r="K31" s="51"/>
      <c r="L31" s="51"/>
      <c r="M31" s="51"/>
    </row>
    <row r="32" spans="1:13" ht="12.75">
      <c r="A32" s="51"/>
      <c r="B32" s="51"/>
      <c r="C32" s="51"/>
      <c r="D32" s="51"/>
      <c r="E32" s="51"/>
      <c r="F32" s="51"/>
      <c r="G32" s="51"/>
      <c r="H32" s="51"/>
      <c r="I32" s="51"/>
      <c r="J32" s="51"/>
      <c r="K32" s="51"/>
      <c r="L32" s="51"/>
      <c r="M32" s="51"/>
    </row>
    <row r="33" spans="1:13" ht="12.75">
      <c r="A33" s="51"/>
      <c r="B33" s="51"/>
      <c r="C33" s="51"/>
      <c r="D33" s="51"/>
      <c r="E33" s="51"/>
      <c r="F33" s="51"/>
      <c r="G33" s="51"/>
      <c r="H33" s="51"/>
      <c r="I33" s="51"/>
      <c r="J33" s="51"/>
      <c r="K33" s="51"/>
      <c r="L33" s="51"/>
      <c r="M33" s="51"/>
    </row>
    <row r="34" spans="1:13" ht="12.75">
      <c r="A34" s="51"/>
      <c r="B34" s="51"/>
      <c r="C34" s="51"/>
      <c r="D34" s="51"/>
      <c r="E34" s="51"/>
      <c r="F34" s="51"/>
      <c r="G34" s="51"/>
      <c r="H34" s="51"/>
      <c r="I34" s="51"/>
      <c r="J34" s="51"/>
      <c r="K34" s="51"/>
      <c r="L34" s="51"/>
      <c r="M34" s="51"/>
    </row>
    <row r="35" spans="1:13" ht="12.75">
      <c r="A35" s="51"/>
      <c r="B35" s="51"/>
      <c r="C35" s="51"/>
      <c r="D35" s="51"/>
      <c r="E35" s="51"/>
      <c r="F35" s="51"/>
      <c r="G35" s="51"/>
      <c r="H35" s="51"/>
      <c r="I35" s="51"/>
      <c r="J35" s="51"/>
      <c r="K35" s="51"/>
      <c r="L35" s="51"/>
      <c r="M35" s="51"/>
    </row>
    <row r="36" spans="1:13" ht="12.75">
      <c r="A36" s="51"/>
      <c r="B36" s="51"/>
      <c r="C36" s="51"/>
      <c r="D36" s="51"/>
      <c r="E36" s="51"/>
      <c r="F36" s="51"/>
      <c r="G36" s="51"/>
      <c r="H36" s="51"/>
      <c r="I36" s="51"/>
      <c r="J36" s="51"/>
      <c r="K36" s="51"/>
      <c r="L36" s="51"/>
      <c r="M36" s="51"/>
    </row>
    <row r="37" spans="1:13" ht="12.75">
      <c r="A37" s="51"/>
      <c r="B37" s="51"/>
      <c r="C37" s="51"/>
      <c r="D37" s="51"/>
      <c r="E37" s="51"/>
      <c r="F37" s="51"/>
      <c r="G37" s="51"/>
      <c r="H37" s="51"/>
      <c r="I37" s="51"/>
      <c r="J37" s="51"/>
      <c r="K37" s="51"/>
      <c r="L37" s="51"/>
      <c r="M37" s="51"/>
    </row>
    <row r="38" spans="1:13" ht="12.75">
      <c r="A38" s="51"/>
      <c r="B38" s="51"/>
      <c r="C38" s="51"/>
      <c r="D38" s="51"/>
      <c r="E38" s="51"/>
      <c r="F38" s="51"/>
      <c r="G38" s="51"/>
      <c r="H38" s="51"/>
      <c r="I38" s="51"/>
      <c r="J38" s="51"/>
      <c r="K38" s="51"/>
      <c r="L38" s="51"/>
      <c r="M38" s="51"/>
    </row>
    <row r="39" spans="1:13" ht="12.75">
      <c r="A39" s="51"/>
      <c r="B39" s="51"/>
      <c r="C39" s="51"/>
      <c r="D39" s="51"/>
      <c r="E39" s="51"/>
      <c r="F39" s="51"/>
      <c r="G39" s="51"/>
      <c r="H39" s="51"/>
      <c r="I39" s="51"/>
      <c r="J39" s="51"/>
      <c r="K39" s="51"/>
      <c r="L39" s="51"/>
      <c r="M39" s="51"/>
    </row>
    <row r="40" spans="1:13" ht="12.75">
      <c r="A40" s="51"/>
      <c r="B40" s="51"/>
      <c r="C40" s="51"/>
      <c r="D40" s="51"/>
      <c r="E40" s="51"/>
      <c r="F40" s="51"/>
      <c r="G40" s="51"/>
      <c r="H40" s="51"/>
      <c r="I40" s="51"/>
      <c r="J40" s="51"/>
      <c r="K40" s="51"/>
      <c r="L40" s="51"/>
      <c r="M40" s="51"/>
    </row>
    <row r="41" spans="1:13" ht="12.75">
      <c r="A41" s="51"/>
      <c r="B41" s="51"/>
      <c r="C41" s="51"/>
      <c r="D41" s="51"/>
      <c r="E41" s="51"/>
      <c r="F41" s="51"/>
      <c r="G41" s="51"/>
      <c r="H41" s="51"/>
      <c r="I41" s="51"/>
      <c r="J41" s="51"/>
      <c r="K41" s="51"/>
      <c r="L41" s="51"/>
      <c r="M41" s="51"/>
    </row>
    <row r="42" spans="1:13" ht="12.75">
      <c r="A42" s="51"/>
      <c r="B42" s="51"/>
      <c r="C42" s="51"/>
      <c r="D42" s="51"/>
      <c r="E42" s="51"/>
      <c r="F42" s="51"/>
      <c r="G42" s="51"/>
      <c r="H42" s="51"/>
      <c r="I42" s="51"/>
      <c r="J42" s="51"/>
      <c r="K42" s="51"/>
      <c r="L42" s="51"/>
      <c r="M42" s="51"/>
    </row>
    <row r="43" spans="1:13" ht="12.75">
      <c r="A43" s="51"/>
      <c r="B43" s="51"/>
      <c r="C43" s="51"/>
      <c r="D43" s="51"/>
      <c r="E43" s="51"/>
      <c r="F43" s="51"/>
      <c r="G43" s="51"/>
      <c r="H43" s="51"/>
      <c r="I43" s="51"/>
      <c r="J43" s="51"/>
      <c r="K43" s="51"/>
      <c r="L43" s="51"/>
      <c r="M43" s="51"/>
    </row>
    <row r="44" spans="1:13" ht="12.75">
      <c r="A44" s="51"/>
      <c r="B44" s="51"/>
      <c r="C44" s="51"/>
      <c r="D44" s="51"/>
      <c r="E44" s="51"/>
      <c r="F44" s="51"/>
      <c r="G44" s="51"/>
      <c r="H44" s="51"/>
      <c r="I44" s="51"/>
      <c r="J44" s="51"/>
      <c r="K44" s="51"/>
      <c r="L44" s="51"/>
      <c r="M44" s="51"/>
    </row>
    <row r="45" spans="1:13" ht="12.75">
      <c r="A45" s="51"/>
      <c r="B45" s="51"/>
      <c r="C45" s="51"/>
      <c r="D45" s="51"/>
      <c r="E45" s="51"/>
      <c r="F45" s="51"/>
      <c r="G45" s="51"/>
      <c r="H45" s="51"/>
      <c r="I45" s="51"/>
      <c r="J45" s="51"/>
      <c r="K45" s="51"/>
      <c r="L45" s="51"/>
      <c r="M45" s="51"/>
    </row>
    <row r="46" spans="1:13" ht="12.75">
      <c r="A46" s="51"/>
      <c r="B46" s="51"/>
      <c r="C46" s="51"/>
      <c r="D46" s="51"/>
      <c r="E46" s="51"/>
      <c r="F46" s="51"/>
      <c r="G46" s="51"/>
      <c r="H46" s="51"/>
      <c r="I46" s="51"/>
      <c r="J46" s="51"/>
      <c r="K46" s="51"/>
      <c r="L46" s="51"/>
      <c r="M46" s="51"/>
    </row>
    <row r="47" spans="1:13" ht="12.75">
      <c r="A47" s="51"/>
      <c r="B47" s="51"/>
      <c r="C47" s="51"/>
      <c r="D47" s="51"/>
      <c r="E47" s="51"/>
      <c r="F47" s="51"/>
      <c r="G47" s="51"/>
      <c r="H47" s="51"/>
      <c r="I47" s="51"/>
      <c r="J47" s="51"/>
      <c r="K47" s="51"/>
      <c r="L47" s="51"/>
      <c r="M47" s="51"/>
    </row>
    <row r="48" spans="1:13" ht="12.75">
      <c r="A48" s="51"/>
      <c r="B48" s="51"/>
      <c r="C48" s="51"/>
      <c r="D48" s="51"/>
      <c r="E48" s="51"/>
      <c r="F48" s="51"/>
      <c r="G48" s="51"/>
      <c r="H48" s="51"/>
      <c r="I48" s="51"/>
      <c r="J48" s="51"/>
      <c r="K48" s="51"/>
      <c r="L48" s="51"/>
      <c r="M48" s="51"/>
    </row>
    <row r="49" spans="1:13" ht="12.75">
      <c r="A49" s="51"/>
      <c r="B49" s="51"/>
      <c r="C49" s="51"/>
      <c r="D49" s="51"/>
      <c r="E49" s="51"/>
      <c r="F49" s="51"/>
      <c r="G49" s="51"/>
      <c r="H49" s="51"/>
      <c r="I49" s="51"/>
      <c r="J49" s="51"/>
      <c r="K49" s="51"/>
      <c r="L49" s="51"/>
      <c r="M49" s="51"/>
    </row>
    <row r="50" spans="1:13" ht="12.75">
      <c r="A50" s="51"/>
      <c r="B50" s="51"/>
      <c r="C50" s="51"/>
      <c r="D50" s="51"/>
      <c r="E50" s="51"/>
      <c r="F50" s="51"/>
      <c r="G50" s="51"/>
      <c r="H50" s="51"/>
      <c r="I50" s="51"/>
      <c r="J50" s="51"/>
      <c r="K50" s="51"/>
      <c r="L50" s="51"/>
      <c r="M50" s="51"/>
    </row>
    <row r="51" spans="1:13" ht="12.75">
      <c r="A51" s="51"/>
      <c r="B51" s="51"/>
      <c r="C51" s="51"/>
      <c r="D51" s="51"/>
      <c r="E51" s="51"/>
      <c r="F51" s="51"/>
      <c r="G51" s="51"/>
      <c r="H51" s="51"/>
      <c r="I51" s="51"/>
      <c r="J51" s="51"/>
      <c r="K51" s="51"/>
      <c r="L51" s="51"/>
      <c r="M51" s="51"/>
    </row>
    <row r="52" spans="1:13" ht="12.75">
      <c r="A52" s="51"/>
      <c r="B52" s="51"/>
      <c r="C52" s="51"/>
      <c r="D52" s="51"/>
      <c r="E52" s="51"/>
      <c r="F52" s="51"/>
      <c r="G52" s="51"/>
      <c r="H52" s="51"/>
      <c r="I52" s="51"/>
      <c r="J52" s="51"/>
      <c r="K52" s="51"/>
      <c r="L52" s="51"/>
      <c r="M52" s="51"/>
    </row>
    <row r="53" spans="1:13" ht="12.75">
      <c r="A53" s="51"/>
      <c r="B53" s="51"/>
      <c r="C53" s="51"/>
      <c r="D53" s="51"/>
      <c r="E53" s="51"/>
      <c r="F53" s="51"/>
      <c r="G53" s="51"/>
      <c r="H53" s="51"/>
      <c r="I53" s="51"/>
      <c r="J53" s="51"/>
      <c r="K53" s="51"/>
      <c r="L53" s="51"/>
      <c r="M53" s="51"/>
    </row>
    <row r="54" spans="1:13" ht="12.75">
      <c r="A54" s="51"/>
      <c r="B54" s="51"/>
      <c r="C54" s="51"/>
      <c r="D54" s="51"/>
      <c r="E54" s="51"/>
      <c r="F54" s="51"/>
      <c r="G54" s="51"/>
      <c r="H54" s="51"/>
      <c r="I54" s="51"/>
      <c r="J54" s="51"/>
      <c r="K54" s="51"/>
      <c r="L54" s="51"/>
      <c r="M54" s="51"/>
    </row>
    <row r="55" spans="1:13" ht="12.75">
      <c r="A55" s="51"/>
      <c r="B55" s="51"/>
      <c r="C55" s="51"/>
      <c r="D55" s="51"/>
      <c r="E55" s="51"/>
      <c r="F55" s="51"/>
      <c r="G55" s="51"/>
      <c r="H55" s="51"/>
      <c r="I55" s="51"/>
      <c r="J55" s="51"/>
      <c r="K55" s="51"/>
      <c r="L55" s="51"/>
      <c r="M55" s="51"/>
    </row>
    <row r="56" spans="1:13" ht="12.75">
      <c r="A56" s="51"/>
      <c r="B56" s="51"/>
      <c r="C56" s="51"/>
      <c r="D56" s="51"/>
      <c r="E56" s="51"/>
      <c r="F56" s="51"/>
      <c r="G56" s="51"/>
      <c r="H56" s="51"/>
      <c r="I56" s="51"/>
      <c r="J56" s="51"/>
      <c r="K56" s="51"/>
      <c r="L56" s="51"/>
      <c r="M56" s="51"/>
    </row>
    <row r="57" spans="1:13" ht="12.75">
      <c r="A57" s="51"/>
      <c r="B57" s="51"/>
      <c r="C57" s="51"/>
      <c r="D57" s="51"/>
      <c r="E57" s="51"/>
      <c r="F57" s="51"/>
      <c r="G57" s="51"/>
      <c r="H57" s="51"/>
      <c r="I57" s="51"/>
      <c r="J57" s="51"/>
      <c r="K57" s="51"/>
      <c r="L57" s="51"/>
      <c r="M57" s="51"/>
    </row>
    <row r="58" spans="1:13" ht="12.75">
      <c r="A58" s="51"/>
      <c r="B58" s="51"/>
      <c r="C58" s="51"/>
      <c r="D58" s="51"/>
      <c r="E58" s="51"/>
      <c r="F58" s="51"/>
      <c r="G58" s="51"/>
      <c r="H58" s="51"/>
      <c r="I58" s="51"/>
      <c r="J58" s="51"/>
      <c r="K58" s="51"/>
      <c r="L58" s="51"/>
      <c r="M58" s="51"/>
    </row>
    <row r="59" spans="1:13" ht="12.75">
      <c r="A59" s="51"/>
      <c r="B59" s="51"/>
      <c r="C59" s="51"/>
      <c r="D59" s="51"/>
      <c r="E59" s="51"/>
      <c r="F59" s="51"/>
      <c r="G59" s="51"/>
      <c r="H59" s="51"/>
      <c r="I59" s="51"/>
      <c r="J59" s="51"/>
      <c r="K59" s="51"/>
      <c r="L59" s="51"/>
      <c r="M59" s="51"/>
    </row>
    <row r="60" spans="1:13" ht="12.75">
      <c r="A60" s="51"/>
      <c r="B60" s="51"/>
      <c r="C60" s="51"/>
      <c r="D60" s="51"/>
      <c r="E60" s="51"/>
      <c r="F60" s="51"/>
      <c r="G60" s="51"/>
      <c r="H60" s="51"/>
      <c r="I60" s="51"/>
      <c r="J60" s="51"/>
      <c r="K60" s="51"/>
      <c r="L60" s="51"/>
      <c r="M60" s="51"/>
    </row>
    <row r="61" spans="1:13" ht="12.75">
      <c r="A61" s="51"/>
      <c r="B61" s="51"/>
      <c r="C61" s="51"/>
      <c r="D61" s="51"/>
      <c r="E61" s="51"/>
      <c r="F61" s="51"/>
      <c r="G61" s="51"/>
      <c r="H61" s="51"/>
      <c r="I61" s="51"/>
      <c r="J61" s="51"/>
      <c r="K61" s="51"/>
      <c r="L61" s="51"/>
      <c r="M61" s="51"/>
    </row>
    <row r="62" spans="1:13" ht="12.75">
      <c r="A62" s="51"/>
      <c r="B62" s="51"/>
      <c r="C62" s="51"/>
      <c r="D62" s="51"/>
      <c r="E62" s="51"/>
      <c r="F62" s="51"/>
      <c r="G62" s="51"/>
      <c r="H62" s="51"/>
      <c r="I62" s="51"/>
      <c r="J62" s="51"/>
      <c r="K62" s="51"/>
      <c r="L62" s="51"/>
      <c r="M62" s="51"/>
    </row>
    <row r="63" spans="1:13" ht="12.75">
      <c r="A63" s="51"/>
      <c r="B63" s="51"/>
      <c r="C63" s="51"/>
      <c r="D63" s="51"/>
      <c r="E63" s="51"/>
      <c r="F63" s="51"/>
      <c r="G63" s="51"/>
      <c r="H63" s="51"/>
      <c r="I63" s="51"/>
      <c r="J63" s="51"/>
      <c r="K63" s="51"/>
      <c r="L63" s="51"/>
      <c r="M63" s="51"/>
    </row>
    <row r="64" spans="1:13" ht="12.75">
      <c r="A64" s="51"/>
      <c r="B64" s="51"/>
      <c r="C64" s="51"/>
      <c r="D64" s="51"/>
      <c r="E64" s="51"/>
      <c r="F64" s="51"/>
      <c r="G64" s="51"/>
      <c r="H64" s="51"/>
      <c r="I64" s="51"/>
      <c r="J64" s="51"/>
      <c r="K64" s="51"/>
      <c r="L64" s="51"/>
      <c r="M64" s="51"/>
    </row>
    <row r="65" spans="1:13" ht="12.75">
      <c r="A65" s="51"/>
      <c r="B65" s="51"/>
      <c r="C65" s="51"/>
      <c r="D65" s="51"/>
      <c r="E65" s="51"/>
      <c r="F65" s="51"/>
      <c r="G65" s="51"/>
      <c r="H65" s="51"/>
      <c r="I65" s="51"/>
      <c r="J65" s="51"/>
      <c r="K65" s="51"/>
      <c r="L65" s="51"/>
      <c r="M65" s="51"/>
    </row>
    <row r="66" spans="1:13" ht="12.75">
      <c r="A66" s="51"/>
      <c r="B66" s="51"/>
      <c r="C66" s="51"/>
      <c r="D66" s="51"/>
      <c r="E66" s="51"/>
      <c r="F66" s="51"/>
      <c r="G66" s="51"/>
      <c r="H66" s="51"/>
      <c r="I66" s="51"/>
      <c r="J66" s="51"/>
      <c r="K66" s="51"/>
      <c r="L66" s="51"/>
      <c r="M66" s="51"/>
    </row>
    <row r="67" spans="1:13" ht="12.75">
      <c r="A67" s="51"/>
      <c r="B67" s="51"/>
      <c r="C67" s="51"/>
      <c r="D67" s="51"/>
      <c r="E67" s="51"/>
      <c r="F67" s="51"/>
      <c r="G67" s="51"/>
      <c r="H67" s="51"/>
      <c r="I67" s="51"/>
      <c r="J67" s="51"/>
      <c r="K67" s="51"/>
      <c r="L67" s="51"/>
      <c r="M67" s="51"/>
    </row>
    <row r="68" spans="1:13" ht="12.75">
      <c r="A68" s="51"/>
      <c r="B68" s="51"/>
      <c r="C68" s="51"/>
      <c r="D68" s="51"/>
      <c r="E68" s="51"/>
      <c r="F68" s="51"/>
      <c r="G68" s="51"/>
      <c r="H68" s="51"/>
      <c r="I68" s="51"/>
      <c r="J68" s="51"/>
      <c r="K68" s="51"/>
      <c r="L68" s="51"/>
      <c r="M68" s="51"/>
    </row>
    <row r="69" spans="1:13" ht="12.75">
      <c r="A69" s="51"/>
      <c r="B69" s="51"/>
      <c r="C69" s="51"/>
      <c r="D69" s="51"/>
      <c r="E69" s="51"/>
      <c r="F69" s="51"/>
      <c r="G69" s="51"/>
      <c r="H69" s="51"/>
      <c r="I69" s="51"/>
      <c r="J69" s="51"/>
      <c r="K69" s="51"/>
      <c r="L69" s="51"/>
      <c r="M69" s="51"/>
    </row>
    <row r="70" spans="1:13" ht="12.75">
      <c r="A70" s="51"/>
      <c r="B70" s="51"/>
      <c r="C70" s="51"/>
      <c r="D70" s="51"/>
      <c r="E70" s="51"/>
      <c r="F70" s="51"/>
      <c r="G70" s="51"/>
      <c r="H70" s="51"/>
      <c r="I70" s="51"/>
      <c r="J70" s="51"/>
      <c r="K70" s="51"/>
      <c r="L70" s="51"/>
      <c r="M70" s="51"/>
    </row>
    <row r="71" spans="1:13" ht="12.75">
      <c r="A71" s="51"/>
      <c r="B71" s="51"/>
      <c r="C71" s="51"/>
      <c r="D71" s="51"/>
      <c r="E71" s="51"/>
      <c r="F71" s="51"/>
      <c r="G71" s="51"/>
      <c r="H71" s="51"/>
      <c r="I71" s="51"/>
      <c r="J71" s="51"/>
      <c r="K71" s="51"/>
      <c r="L71" s="51"/>
      <c r="M71" s="51"/>
    </row>
    <row r="72" spans="1:13" ht="12.75">
      <c r="A72" s="51"/>
      <c r="B72" s="51"/>
      <c r="C72" s="51"/>
      <c r="D72" s="51"/>
      <c r="E72" s="51"/>
      <c r="F72" s="51"/>
      <c r="G72" s="51"/>
      <c r="H72" s="51"/>
      <c r="I72" s="51"/>
      <c r="J72" s="51"/>
      <c r="K72" s="51"/>
      <c r="L72" s="51"/>
      <c r="M72" s="51"/>
    </row>
    <row r="73" spans="1:13" ht="12.75">
      <c r="A73" s="51"/>
      <c r="B73" s="51"/>
      <c r="C73" s="51"/>
      <c r="D73" s="51"/>
      <c r="E73" s="51"/>
      <c r="F73" s="51"/>
      <c r="G73" s="51"/>
      <c r="H73" s="51"/>
      <c r="I73" s="51"/>
      <c r="J73" s="51"/>
      <c r="K73" s="51"/>
      <c r="L73" s="51"/>
      <c r="M73" s="51"/>
    </row>
    <row r="74" spans="1:13" ht="12.75">
      <c r="A74" s="51"/>
      <c r="B74" s="51"/>
      <c r="C74" s="51"/>
      <c r="D74" s="51"/>
      <c r="E74" s="51"/>
      <c r="F74" s="51"/>
      <c r="G74" s="51"/>
      <c r="H74" s="51"/>
      <c r="I74" s="51"/>
      <c r="J74" s="51"/>
      <c r="K74" s="51"/>
      <c r="L74" s="51"/>
      <c r="M74" s="51"/>
    </row>
    <row r="75" spans="1:13" ht="12.75">
      <c r="A75" s="51"/>
      <c r="B75" s="51"/>
      <c r="C75" s="51"/>
      <c r="D75" s="51"/>
      <c r="E75" s="51"/>
      <c r="F75" s="51"/>
      <c r="G75" s="51"/>
      <c r="H75" s="51"/>
      <c r="I75" s="51"/>
      <c r="J75" s="51"/>
      <c r="K75" s="51"/>
      <c r="L75" s="51"/>
      <c r="M75" s="51"/>
    </row>
    <row r="76" spans="1:13" ht="12.75">
      <c r="A76" s="51"/>
      <c r="B76" s="51"/>
      <c r="C76" s="51"/>
      <c r="D76" s="51"/>
      <c r="E76" s="51"/>
      <c r="F76" s="51"/>
      <c r="G76" s="51"/>
      <c r="H76" s="51"/>
      <c r="I76" s="51"/>
      <c r="J76" s="51"/>
      <c r="K76" s="51"/>
      <c r="L76" s="51"/>
      <c r="M76" s="51"/>
    </row>
    <row r="77" spans="1:13" ht="12.75">
      <c r="A77" s="51"/>
      <c r="B77" s="51"/>
      <c r="C77" s="51"/>
      <c r="D77" s="51"/>
      <c r="E77" s="51"/>
      <c r="F77" s="51"/>
      <c r="G77" s="51"/>
      <c r="H77" s="51"/>
      <c r="I77" s="51"/>
      <c r="J77" s="51"/>
      <c r="K77" s="51"/>
      <c r="L77" s="51"/>
      <c r="M77" s="51"/>
    </row>
    <row r="78" spans="1:13" ht="12.75">
      <c r="A78" s="51"/>
      <c r="B78" s="51"/>
      <c r="C78" s="51"/>
      <c r="D78" s="51"/>
      <c r="E78" s="51"/>
      <c r="F78" s="51"/>
      <c r="G78" s="51"/>
      <c r="H78" s="51"/>
      <c r="I78" s="51"/>
      <c r="J78" s="51"/>
      <c r="K78" s="51"/>
      <c r="L78" s="51"/>
      <c r="M78" s="51"/>
    </row>
    <row r="79" spans="1:13" ht="12.75">
      <c r="A79" s="51"/>
      <c r="B79" s="51"/>
      <c r="C79" s="51"/>
      <c r="D79" s="51"/>
      <c r="E79" s="51"/>
      <c r="F79" s="51"/>
      <c r="G79" s="51"/>
      <c r="H79" s="51"/>
      <c r="I79" s="51"/>
      <c r="J79" s="51"/>
      <c r="K79" s="51"/>
      <c r="L79" s="51"/>
      <c r="M79" s="51"/>
    </row>
    <row r="80" spans="1:13" ht="12.75">
      <c r="A80" s="51"/>
      <c r="B80" s="51"/>
      <c r="C80" s="51"/>
      <c r="D80" s="51"/>
      <c r="E80" s="51"/>
      <c r="F80" s="51"/>
      <c r="G80" s="51"/>
      <c r="H80" s="51"/>
      <c r="I80" s="51"/>
      <c r="J80" s="51"/>
      <c r="K80" s="51"/>
      <c r="L80" s="51"/>
      <c r="M80" s="51"/>
    </row>
    <row r="81" spans="1:13" ht="12.75">
      <c r="A81" s="51"/>
      <c r="B81" s="51"/>
      <c r="C81" s="51"/>
      <c r="D81" s="51"/>
      <c r="E81" s="51"/>
      <c r="F81" s="51"/>
      <c r="G81" s="51"/>
      <c r="H81" s="51"/>
      <c r="I81" s="51"/>
      <c r="J81" s="51"/>
      <c r="K81" s="51"/>
      <c r="L81" s="51"/>
      <c r="M81" s="51"/>
    </row>
    <row r="82" spans="1:13" ht="12.75">
      <c r="A82" s="51"/>
      <c r="B82" s="51"/>
      <c r="C82" s="51"/>
      <c r="D82" s="51"/>
      <c r="E82" s="51"/>
      <c r="F82" s="51"/>
      <c r="G82" s="51"/>
      <c r="H82" s="51"/>
      <c r="I82" s="51"/>
      <c r="J82" s="51"/>
      <c r="K82" s="51"/>
      <c r="L82" s="51"/>
      <c r="M82" s="51"/>
    </row>
    <row r="83" spans="1:13" ht="12.75">
      <c r="A83" s="51"/>
      <c r="B83" s="51"/>
      <c r="C83" s="51"/>
      <c r="D83" s="51"/>
      <c r="E83" s="51"/>
      <c r="F83" s="51"/>
      <c r="G83" s="51"/>
      <c r="H83" s="51"/>
      <c r="I83" s="51"/>
      <c r="J83" s="51"/>
      <c r="K83" s="51"/>
      <c r="L83" s="51"/>
      <c r="M83" s="51"/>
    </row>
    <row r="84" spans="1:13" ht="12.75">
      <c r="A84" s="51"/>
      <c r="B84" s="51"/>
      <c r="C84" s="51"/>
      <c r="D84" s="51"/>
      <c r="E84" s="51"/>
      <c r="F84" s="51"/>
      <c r="G84" s="51"/>
      <c r="H84" s="51"/>
      <c r="I84" s="51"/>
      <c r="J84" s="51"/>
      <c r="K84" s="51"/>
      <c r="L84" s="51"/>
      <c r="M84" s="51"/>
    </row>
    <row r="85" spans="1:13" ht="12.75">
      <c r="A85" s="51"/>
      <c r="B85" s="51"/>
      <c r="C85" s="51"/>
      <c r="D85" s="51"/>
      <c r="E85" s="51"/>
      <c r="F85" s="51"/>
      <c r="G85" s="51"/>
      <c r="H85" s="51"/>
      <c r="I85" s="51"/>
      <c r="J85" s="51"/>
      <c r="K85" s="51"/>
      <c r="L85" s="51"/>
      <c r="M85" s="51"/>
    </row>
    <row r="86" spans="1:13" ht="12.75">
      <c r="A86" s="51"/>
      <c r="B86" s="51"/>
      <c r="C86" s="51"/>
      <c r="D86" s="51"/>
      <c r="E86" s="51"/>
      <c r="F86" s="51"/>
      <c r="G86" s="51"/>
      <c r="H86" s="51"/>
      <c r="I86" s="51"/>
      <c r="J86" s="51"/>
      <c r="K86" s="51"/>
      <c r="L86" s="51"/>
      <c r="M86" s="51"/>
    </row>
    <row r="87" spans="1:13" ht="12.75">
      <c r="A87" s="51"/>
      <c r="B87" s="51"/>
      <c r="C87" s="51"/>
      <c r="D87" s="51"/>
      <c r="E87" s="51"/>
      <c r="F87" s="51"/>
      <c r="G87" s="51"/>
      <c r="H87" s="51"/>
      <c r="I87" s="51"/>
      <c r="J87" s="51"/>
      <c r="K87" s="51"/>
      <c r="L87" s="51"/>
      <c r="M87" s="51"/>
    </row>
    <row r="88" spans="1:13" ht="12.75">
      <c r="A88" s="51"/>
      <c r="B88" s="51"/>
      <c r="C88" s="51"/>
      <c r="D88" s="51"/>
      <c r="E88" s="51"/>
      <c r="F88" s="51"/>
      <c r="G88" s="51"/>
      <c r="H88" s="51"/>
      <c r="I88" s="51"/>
      <c r="J88" s="51"/>
      <c r="K88" s="51"/>
      <c r="L88" s="51"/>
      <c r="M88" s="51"/>
    </row>
    <row r="89" spans="1:13" ht="12.75">
      <c r="A89" s="51"/>
      <c r="B89" s="51"/>
      <c r="C89" s="51"/>
      <c r="D89" s="51"/>
      <c r="E89" s="51"/>
      <c r="F89" s="51"/>
      <c r="G89" s="51"/>
      <c r="H89" s="51"/>
      <c r="I89" s="51"/>
      <c r="J89" s="51"/>
      <c r="K89" s="51"/>
      <c r="L89" s="51"/>
      <c r="M89" s="51"/>
    </row>
    <row r="90" spans="1:13" ht="12.75">
      <c r="A90" s="51"/>
      <c r="B90" s="51"/>
      <c r="C90" s="51"/>
      <c r="D90" s="51"/>
      <c r="E90" s="51"/>
      <c r="F90" s="51"/>
      <c r="G90" s="51"/>
      <c r="H90" s="51"/>
      <c r="I90" s="51"/>
      <c r="J90" s="51"/>
      <c r="K90" s="51"/>
      <c r="L90" s="51"/>
      <c r="M90" s="51"/>
    </row>
    <row r="91" spans="1:13" ht="12.75">
      <c r="A91" s="51"/>
      <c r="B91" s="51"/>
      <c r="C91" s="51"/>
      <c r="D91" s="51"/>
      <c r="E91" s="51"/>
      <c r="F91" s="51"/>
      <c r="G91" s="51"/>
      <c r="H91" s="51"/>
      <c r="I91" s="51"/>
      <c r="J91" s="51"/>
      <c r="K91" s="51"/>
      <c r="L91" s="51"/>
      <c r="M91" s="51"/>
    </row>
    <row r="92" spans="1:13" ht="12.75">
      <c r="A92" s="51"/>
      <c r="B92" s="51"/>
      <c r="C92" s="51"/>
      <c r="D92" s="51"/>
      <c r="E92" s="51"/>
      <c r="F92" s="51"/>
      <c r="G92" s="51"/>
      <c r="H92" s="51"/>
      <c r="I92" s="51"/>
      <c r="J92" s="51"/>
      <c r="K92" s="51"/>
      <c r="L92" s="51"/>
      <c r="M92" s="51"/>
    </row>
    <row r="93" spans="1:13" ht="12.75">
      <c r="A93" s="51"/>
      <c r="B93" s="51"/>
      <c r="C93" s="51"/>
      <c r="D93" s="51"/>
      <c r="E93" s="51"/>
      <c r="F93" s="51"/>
      <c r="G93" s="51"/>
      <c r="H93" s="51"/>
      <c r="I93" s="51"/>
      <c r="J93" s="51"/>
      <c r="K93" s="51"/>
      <c r="L93" s="51"/>
      <c r="M93" s="51"/>
    </row>
    <row r="94" spans="1:13" ht="12.75">
      <c r="A94" s="51"/>
      <c r="B94" s="51"/>
      <c r="C94" s="51"/>
      <c r="D94" s="51"/>
      <c r="E94" s="51"/>
      <c r="F94" s="51"/>
      <c r="G94" s="51"/>
      <c r="H94" s="51"/>
      <c r="I94" s="51"/>
      <c r="J94" s="51"/>
      <c r="K94" s="51"/>
      <c r="L94" s="51"/>
      <c r="M94" s="51"/>
    </row>
    <row r="95" spans="1:13" ht="12.75">
      <c r="A95" s="51"/>
      <c r="B95" s="51"/>
      <c r="C95" s="51"/>
      <c r="D95" s="51"/>
      <c r="E95" s="51"/>
      <c r="F95" s="51"/>
      <c r="G95" s="51"/>
      <c r="H95" s="51"/>
      <c r="I95" s="51"/>
      <c r="J95" s="51"/>
      <c r="K95" s="51"/>
      <c r="L95" s="51"/>
      <c r="M95" s="51"/>
    </row>
    <row r="96" spans="1:13" ht="12.75">
      <c r="A96" s="51"/>
      <c r="B96" s="51"/>
      <c r="C96" s="51"/>
      <c r="D96" s="51"/>
      <c r="E96" s="51"/>
      <c r="F96" s="51"/>
      <c r="G96" s="51"/>
      <c r="H96" s="51"/>
      <c r="I96" s="51"/>
      <c r="J96" s="51"/>
      <c r="K96" s="51"/>
      <c r="L96" s="51"/>
      <c r="M96" s="51"/>
    </row>
    <row r="97" spans="1:13" ht="12.75">
      <c r="A97" s="51"/>
      <c r="B97" s="51"/>
      <c r="C97" s="51"/>
      <c r="D97" s="51"/>
      <c r="E97" s="51"/>
      <c r="F97" s="51"/>
      <c r="G97" s="51"/>
      <c r="H97" s="51"/>
      <c r="I97" s="51"/>
      <c r="J97" s="51"/>
      <c r="K97" s="51"/>
      <c r="L97" s="51"/>
      <c r="M97" s="51"/>
    </row>
    <row r="98" spans="1:13" ht="12.75">
      <c r="A98" s="51"/>
      <c r="B98" s="51"/>
      <c r="C98" s="51"/>
      <c r="D98" s="51"/>
      <c r="E98" s="51"/>
      <c r="F98" s="51"/>
      <c r="G98" s="51"/>
      <c r="H98" s="51"/>
      <c r="I98" s="51"/>
      <c r="J98" s="51"/>
      <c r="K98" s="51"/>
      <c r="L98" s="51"/>
      <c r="M98" s="51"/>
    </row>
    <row r="99" spans="1:13" ht="12.75">
      <c r="A99" s="51"/>
      <c r="B99" s="51"/>
      <c r="C99" s="51"/>
      <c r="D99" s="51"/>
      <c r="E99" s="51"/>
      <c r="F99" s="51"/>
      <c r="G99" s="51"/>
      <c r="H99" s="51"/>
      <c r="I99" s="51"/>
      <c r="J99" s="51"/>
      <c r="K99" s="51"/>
      <c r="L99" s="51"/>
      <c r="M99" s="51"/>
    </row>
    <row r="100" spans="1:13" ht="12.75">
      <c r="A100" s="51"/>
      <c r="B100" s="51"/>
      <c r="C100" s="51"/>
      <c r="D100" s="51"/>
      <c r="E100" s="51"/>
      <c r="F100" s="51"/>
      <c r="G100" s="51"/>
      <c r="H100" s="51"/>
      <c r="I100" s="51"/>
      <c r="J100" s="51"/>
      <c r="K100" s="51"/>
      <c r="L100" s="51"/>
      <c r="M100" s="51"/>
    </row>
    <row r="101" spans="1:13" ht="12.75">
      <c r="A101" s="51"/>
      <c r="B101" s="51"/>
      <c r="C101" s="51"/>
      <c r="D101" s="51"/>
      <c r="E101" s="51"/>
      <c r="F101" s="51"/>
      <c r="G101" s="51"/>
      <c r="H101" s="51"/>
      <c r="I101" s="51"/>
      <c r="J101" s="51"/>
      <c r="K101" s="51"/>
      <c r="L101" s="51"/>
      <c r="M101" s="51"/>
    </row>
    <row r="102" spans="1:13" ht="12.75">
      <c r="A102" s="51"/>
      <c r="B102" s="51"/>
      <c r="C102" s="51"/>
      <c r="D102" s="51"/>
      <c r="E102" s="51"/>
      <c r="F102" s="51"/>
      <c r="G102" s="51"/>
      <c r="H102" s="51"/>
      <c r="I102" s="51"/>
      <c r="J102" s="51"/>
      <c r="K102" s="51"/>
      <c r="L102" s="51"/>
      <c r="M102" s="51"/>
    </row>
    <row r="103" spans="1:13" ht="12.75">
      <c r="A103" s="51"/>
      <c r="B103" s="51"/>
      <c r="C103" s="51"/>
      <c r="D103" s="51"/>
      <c r="E103" s="51"/>
      <c r="F103" s="51"/>
      <c r="G103" s="51"/>
      <c r="H103" s="51"/>
      <c r="I103" s="51"/>
      <c r="J103" s="51"/>
      <c r="K103" s="51"/>
      <c r="L103" s="51"/>
      <c r="M103" s="51"/>
    </row>
    <row r="104" spans="1:13" ht="12.75">
      <c r="A104" s="51"/>
      <c r="B104" s="51"/>
      <c r="C104" s="51"/>
      <c r="D104" s="51"/>
      <c r="E104" s="51"/>
      <c r="F104" s="51"/>
      <c r="G104" s="51"/>
      <c r="H104" s="51"/>
      <c r="I104" s="51"/>
      <c r="J104" s="51"/>
      <c r="K104" s="51"/>
      <c r="L104" s="51"/>
      <c r="M104" s="51"/>
    </row>
    <row r="105" spans="1:13" ht="12.75">
      <c r="A105" s="51"/>
      <c r="B105" s="51"/>
      <c r="C105" s="51"/>
      <c r="D105" s="51"/>
      <c r="E105" s="51"/>
      <c r="F105" s="51"/>
      <c r="G105" s="51"/>
      <c r="H105" s="51"/>
      <c r="I105" s="51"/>
      <c r="J105" s="51"/>
      <c r="K105" s="51"/>
      <c r="L105" s="51"/>
      <c r="M105" s="51"/>
    </row>
    <row r="106" spans="1:13" ht="12.75">
      <c r="A106" s="51"/>
      <c r="B106" s="51"/>
      <c r="C106" s="51"/>
      <c r="D106" s="51"/>
      <c r="E106" s="51"/>
      <c r="F106" s="51"/>
      <c r="G106" s="51"/>
      <c r="H106" s="51"/>
      <c r="I106" s="51"/>
      <c r="J106" s="51"/>
      <c r="K106" s="51"/>
      <c r="L106" s="51"/>
      <c r="M106" s="51"/>
    </row>
    <row r="107" spans="1:13" ht="12.75">
      <c r="A107" s="51"/>
      <c r="B107" s="51"/>
      <c r="C107" s="51"/>
      <c r="D107" s="51"/>
      <c r="E107" s="51"/>
      <c r="F107" s="51"/>
      <c r="G107" s="51"/>
      <c r="H107" s="51"/>
      <c r="I107" s="51"/>
      <c r="J107" s="51"/>
      <c r="K107" s="51"/>
      <c r="L107" s="51"/>
      <c r="M107" s="51"/>
    </row>
    <row r="108" spans="1:13" ht="12.75">
      <c r="A108" s="51"/>
      <c r="B108" s="51"/>
      <c r="C108" s="51"/>
      <c r="D108" s="51"/>
      <c r="E108" s="51"/>
      <c r="F108" s="51"/>
      <c r="G108" s="51"/>
      <c r="H108" s="51"/>
      <c r="I108" s="51"/>
      <c r="J108" s="51"/>
      <c r="K108" s="51"/>
      <c r="L108" s="51"/>
      <c r="M108" s="51"/>
    </row>
    <row r="109" spans="1:13" ht="12.75">
      <c r="A109" s="51"/>
      <c r="B109" s="51"/>
      <c r="C109" s="51"/>
      <c r="D109" s="51"/>
      <c r="E109" s="51"/>
      <c r="F109" s="51"/>
      <c r="G109" s="51"/>
      <c r="H109" s="51"/>
      <c r="I109" s="51"/>
      <c r="J109" s="51"/>
      <c r="K109" s="51"/>
      <c r="L109" s="51"/>
      <c r="M109" s="51"/>
    </row>
    <row r="110" spans="1:13" ht="12.75">
      <c r="A110" s="51"/>
      <c r="B110" s="51"/>
      <c r="C110" s="51"/>
      <c r="D110" s="51"/>
      <c r="E110" s="51"/>
      <c r="F110" s="51"/>
      <c r="G110" s="51"/>
      <c r="H110" s="51"/>
      <c r="I110" s="51"/>
      <c r="J110" s="51"/>
      <c r="K110" s="51"/>
      <c r="L110" s="51"/>
      <c r="M110" s="51"/>
    </row>
    <row r="111" spans="1:13" ht="12.75">
      <c r="A111" s="51"/>
      <c r="B111" s="51"/>
      <c r="C111" s="51"/>
      <c r="D111" s="51"/>
      <c r="E111" s="51"/>
      <c r="F111" s="51"/>
      <c r="G111" s="51"/>
      <c r="H111" s="51"/>
      <c r="I111" s="51"/>
      <c r="J111" s="51"/>
      <c r="K111" s="51"/>
      <c r="L111" s="51"/>
      <c r="M111" s="51"/>
    </row>
    <row r="112" spans="1:13" ht="12.75">
      <c r="A112" s="51"/>
      <c r="B112" s="51"/>
      <c r="C112" s="51"/>
      <c r="D112" s="51"/>
      <c r="E112" s="51"/>
      <c r="F112" s="51"/>
      <c r="G112" s="51"/>
      <c r="H112" s="51"/>
      <c r="I112" s="51"/>
      <c r="J112" s="51"/>
      <c r="K112" s="51"/>
      <c r="L112" s="51"/>
      <c r="M112" s="51"/>
    </row>
    <row r="113" spans="1:13" ht="12.75">
      <c r="A113" s="51"/>
      <c r="B113" s="51"/>
      <c r="C113" s="51"/>
      <c r="D113" s="51"/>
      <c r="E113" s="51"/>
      <c r="F113" s="51"/>
      <c r="G113" s="51"/>
      <c r="H113" s="51"/>
      <c r="I113" s="51"/>
      <c r="J113" s="51"/>
      <c r="K113" s="51"/>
      <c r="L113" s="51"/>
      <c r="M113" s="51"/>
    </row>
    <row r="114" spans="1:13" ht="12.75">
      <c r="A114" s="51"/>
      <c r="B114" s="51"/>
      <c r="C114" s="51"/>
      <c r="D114" s="51"/>
      <c r="E114" s="51"/>
      <c r="F114" s="51"/>
      <c r="G114" s="51"/>
      <c r="H114" s="51"/>
      <c r="I114" s="51"/>
      <c r="J114" s="51"/>
      <c r="K114" s="51"/>
      <c r="L114" s="51"/>
      <c r="M114" s="51"/>
    </row>
    <row r="115" spans="1:13" ht="12.75">
      <c r="A115" s="51"/>
      <c r="B115" s="51"/>
      <c r="C115" s="51"/>
      <c r="D115" s="51"/>
      <c r="E115" s="51"/>
      <c r="F115" s="51"/>
      <c r="G115" s="51"/>
      <c r="H115" s="51"/>
      <c r="I115" s="51"/>
      <c r="J115" s="51"/>
      <c r="K115" s="51"/>
      <c r="L115" s="51"/>
      <c r="M115" s="51"/>
    </row>
    <row r="116" spans="1:13" ht="12.75">
      <c r="A116" s="51"/>
      <c r="B116" s="51"/>
      <c r="C116" s="51"/>
      <c r="D116" s="51"/>
      <c r="E116" s="51"/>
      <c r="F116" s="51"/>
      <c r="G116" s="51"/>
      <c r="H116" s="51"/>
      <c r="I116" s="51"/>
      <c r="J116" s="51"/>
      <c r="K116" s="51"/>
      <c r="L116" s="51"/>
      <c r="M116" s="51"/>
    </row>
    <row r="117" spans="1:13" ht="12.75">
      <c r="A117" s="51"/>
      <c r="B117" s="51"/>
      <c r="C117" s="51"/>
      <c r="D117" s="51"/>
      <c r="E117" s="51"/>
      <c r="F117" s="51"/>
      <c r="G117" s="51"/>
      <c r="H117" s="51"/>
      <c r="I117" s="51"/>
      <c r="J117" s="51"/>
      <c r="K117" s="51"/>
      <c r="L117" s="51"/>
      <c r="M117" s="51"/>
    </row>
    <row r="118" spans="1:13" ht="12.75">
      <c r="A118" s="51"/>
      <c r="B118" s="51"/>
      <c r="C118" s="51"/>
      <c r="D118" s="51"/>
      <c r="E118" s="51"/>
      <c r="F118" s="51"/>
      <c r="G118" s="51"/>
      <c r="H118" s="51"/>
      <c r="I118" s="51"/>
      <c r="J118" s="51"/>
      <c r="K118" s="51"/>
      <c r="L118" s="51"/>
      <c r="M118" s="51"/>
    </row>
  </sheetData>
  <sheetProtection/>
  <printOptions/>
  <pageMargins left="0.5" right="0.5" top="0.75" bottom="0.75" header="0.5" footer="0.5"/>
  <pageSetup fitToHeight="0" fitToWidth="1" horizontalDpi="600" verticalDpi="600" orientation="landscape" scale="73" r:id="rId1"/>
</worksheet>
</file>

<file path=xl/worksheets/sheet3.xml><?xml version="1.0" encoding="utf-8"?>
<worksheet xmlns="http://schemas.openxmlformats.org/spreadsheetml/2006/main" xmlns:r="http://schemas.openxmlformats.org/officeDocument/2006/relationships">
  <dimension ref="A1:P118"/>
  <sheetViews>
    <sheetView showGridLines="0" zoomScalePageLayoutView="0" workbookViewId="0" topLeftCell="A1">
      <selection activeCell="E38" sqref="E38"/>
    </sheetView>
  </sheetViews>
  <sheetFormatPr defaultColWidth="9.140625" defaultRowHeight="12.75"/>
  <cols>
    <col min="2" max="2" width="2.57421875" style="0" customWidth="1"/>
    <col min="3" max="12" width="11.7109375" style="0" customWidth="1"/>
    <col min="13" max="13" width="2.7109375" style="0" customWidth="1"/>
    <col min="14" max="14" width="11.7109375" style="0" customWidth="1"/>
    <col min="15" max="15" width="14.8515625" style="0" bestFit="1" customWidth="1"/>
  </cols>
  <sheetData>
    <row r="1" spans="1:2" ht="12.75">
      <c r="A1" s="42" t="str">
        <f>"Multi-Family Tonnages by Commodity ("&amp;TEXT(A6,"mmmm yyyy")&amp;" through "&amp;TEXT(A17,"mmmm yyyy")&amp;")"</f>
        <v>Multi-Family Tonnages by Commodity (May 2014 through April 2015)</v>
      </c>
      <c r="B1" s="43"/>
    </row>
    <row r="2" spans="1:2" ht="12.75">
      <c r="A2" s="44" t="s">
        <v>61</v>
      </c>
      <c r="B2" s="44"/>
    </row>
    <row r="3" spans="1:14" ht="12.75">
      <c r="A3" s="43"/>
      <c r="B3" s="45"/>
      <c r="C3" s="46" t="s">
        <v>15</v>
      </c>
      <c r="D3" s="46" t="s">
        <v>16</v>
      </c>
      <c r="E3" s="46" t="s">
        <v>27</v>
      </c>
      <c r="F3" s="46" t="s">
        <v>17</v>
      </c>
      <c r="G3" s="46" t="s">
        <v>18</v>
      </c>
      <c r="H3" s="46" t="s">
        <v>19</v>
      </c>
      <c r="I3" s="46" t="s">
        <v>20</v>
      </c>
      <c r="J3" s="46" t="s">
        <v>21</v>
      </c>
      <c r="K3" s="46" t="s">
        <v>22</v>
      </c>
      <c r="L3" s="46" t="s">
        <v>23</v>
      </c>
      <c r="M3" s="46"/>
      <c r="N3" s="46" t="s">
        <v>24</v>
      </c>
    </row>
    <row r="4" spans="1:5" s="48" customFormat="1" ht="12.75">
      <c r="A4" s="47"/>
      <c r="B4" s="47"/>
      <c r="D4" s="49"/>
      <c r="E4" s="49"/>
    </row>
    <row r="5" spans="1:14" ht="12.75">
      <c r="A5" s="50"/>
      <c r="B5" s="51"/>
      <c r="C5" s="52"/>
      <c r="D5" s="52"/>
      <c r="E5" s="52"/>
      <c r="F5" s="52"/>
      <c r="G5" s="52"/>
      <c r="H5" s="52"/>
      <c r="I5" s="52"/>
      <c r="J5" s="52"/>
      <c r="L5" s="51"/>
      <c r="M5" s="48"/>
      <c r="N5" s="52" t="s">
        <v>25</v>
      </c>
    </row>
    <row r="6" spans="1:16" ht="12.75">
      <c r="A6" s="115">
        <f>Multi_Family!$C$6</f>
        <v>41760</v>
      </c>
      <c r="B6" s="51" t="s">
        <v>49</v>
      </c>
      <c r="C6" s="88">
        <f>Multi_Family!C32</f>
        <v>0.6573</v>
      </c>
      <c r="D6" s="89">
        <f>Multi_Family!C34</f>
        <v>15.494752000000002</v>
      </c>
      <c r="E6" s="88">
        <f>Multi_Family!C35</f>
        <v>0</v>
      </c>
      <c r="F6" s="88">
        <f>Multi_Family!C30</f>
        <v>1.4460600000000001</v>
      </c>
      <c r="G6" s="88">
        <f>Multi_Family!C27</f>
        <v>17.0898</v>
      </c>
      <c r="H6" s="88">
        <f>Multi_Family!C37</f>
        <v>28.202551999999997</v>
      </c>
      <c r="I6" s="88">
        <f>Multi_Family!C31/2</f>
        <v>1.967518</v>
      </c>
      <c r="J6" s="88">
        <f>Multi_Family!C31/2</f>
        <v>1.967518</v>
      </c>
      <c r="K6" s="88">
        <f>Multi_Family!C28</f>
        <v>15.617448</v>
      </c>
      <c r="L6" s="88">
        <f>Multi_Family!C36</f>
        <v>5.197052000000012</v>
      </c>
      <c r="M6" s="48"/>
      <c r="N6" s="116">
        <f aca="true" t="shared" si="0" ref="N6:N17">SUM(C6:L6)</f>
        <v>87.64</v>
      </c>
      <c r="O6" s="61"/>
      <c r="P6" s="53"/>
    </row>
    <row r="7" spans="1:16" ht="12.75">
      <c r="A7" s="50">
        <f aca="true" t="shared" si="1" ref="A7:A17">EOMONTH(A6,1)</f>
        <v>41820</v>
      </c>
      <c r="B7" s="51" t="s">
        <v>50</v>
      </c>
      <c r="C7" s="88">
        <f>Multi_Family!D32</f>
        <v>0.7011749999999999</v>
      </c>
      <c r="D7" s="89">
        <f>Multi_Family!D34</f>
        <v>16.529032</v>
      </c>
      <c r="E7" s="88">
        <f>Multi_Family!D35</f>
        <v>0</v>
      </c>
      <c r="F7" s="88">
        <f>Multi_Family!D30</f>
        <v>1.542585</v>
      </c>
      <c r="G7" s="88">
        <f>Multi_Family!D27</f>
        <v>18.23055</v>
      </c>
      <c r="H7" s="88">
        <f>Multi_Family!D37</f>
        <v>30.085081999999996</v>
      </c>
      <c r="I7" s="88">
        <f>Multi_Family!D31/2</f>
        <v>2.0988505</v>
      </c>
      <c r="J7" s="88">
        <f>Multi_Family!D31/2</f>
        <v>2.0988505</v>
      </c>
      <c r="K7" s="88">
        <f>Multi_Family!D28</f>
        <v>16.659917999999998</v>
      </c>
      <c r="L7" s="88">
        <f>Multi_Family!D36</f>
        <v>5.543957000000012</v>
      </c>
      <c r="M7" s="48"/>
      <c r="N7" s="116">
        <f t="shared" si="0"/>
        <v>93.49000000000001</v>
      </c>
      <c r="P7" s="53"/>
    </row>
    <row r="8" spans="1:16" ht="12.75">
      <c r="A8" s="50">
        <f t="shared" si="1"/>
        <v>41851</v>
      </c>
      <c r="B8" s="51" t="s">
        <v>51</v>
      </c>
      <c r="C8" s="88">
        <f>Multi_Family!E32</f>
        <v>0.73215</v>
      </c>
      <c r="D8" s="89">
        <f>Multi_Family!E34</f>
        <v>17.259216000000002</v>
      </c>
      <c r="E8" s="88">
        <f>Multi_Family!E35</f>
        <v>0</v>
      </c>
      <c r="F8" s="88">
        <f>Multi_Family!E30</f>
        <v>1.6107300000000002</v>
      </c>
      <c r="G8" s="88">
        <f>Multi_Family!E27</f>
        <v>19.0359</v>
      </c>
      <c r="H8" s="88">
        <f>Multi_Family!E37</f>
        <v>31.414116</v>
      </c>
      <c r="I8" s="88">
        <f>Multi_Family!E31/2</f>
        <v>2.1915690000000003</v>
      </c>
      <c r="J8" s="88">
        <f>Multi_Family!E31/2</f>
        <v>2.1915690000000003</v>
      </c>
      <c r="K8" s="88">
        <f>Multi_Family!E28</f>
        <v>17.395884</v>
      </c>
      <c r="L8" s="88">
        <f>Multi_Family!E36</f>
        <v>5.788866000000013</v>
      </c>
      <c r="M8" s="48"/>
      <c r="N8" s="116">
        <f t="shared" si="0"/>
        <v>97.62</v>
      </c>
      <c r="P8" s="53"/>
    </row>
    <row r="9" spans="1:16" ht="12.75">
      <c r="A9" s="50">
        <f t="shared" si="1"/>
        <v>41882</v>
      </c>
      <c r="B9" s="51" t="s">
        <v>52</v>
      </c>
      <c r="C9" s="88">
        <f>Multi_Family!F32</f>
        <v>0.617475</v>
      </c>
      <c r="D9" s="89">
        <f>Multi_Family!F34</f>
        <v>14.555944</v>
      </c>
      <c r="E9" s="88">
        <f>Multi_Family!F35</f>
        <v>0</v>
      </c>
      <c r="F9" s="88">
        <f>Multi_Family!F30</f>
        <v>1.3584450000000001</v>
      </c>
      <c r="G9" s="88">
        <f>Multi_Family!F27</f>
        <v>16.05435</v>
      </c>
      <c r="H9" s="88">
        <f>Multi_Family!F37</f>
        <v>26.493793999999998</v>
      </c>
      <c r="I9" s="88">
        <f>Multi_Family!F31/2</f>
        <v>1.8483085000000001</v>
      </c>
      <c r="J9" s="88">
        <f>Multi_Family!F31/2</f>
        <v>1.8483085000000001</v>
      </c>
      <c r="K9" s="88">
        <f>Multi_Family!F28</f>
        <v>14.671206</v>
      </c>
      <c r="L9" s="88">
        <f>Multi_Family!F36</f>
        <v>4.882169000000011</v>
      </c>
      <c r="M9" s="48"/>
      <c r="N9" s="116">
        <f t="shared" si="0"/>
        <v>82.33</v>
      </c>
      <c r="P9" s="53"/>
    </row>
    <row r="10" spans="1:16" ht="12.75">
      <c r="A10" s="50">
        <f t="shared" si="1"/>
        <v>41912</v>
      </c>
      <c r="B10" s="51" t="s">
        <v>53</v>
      </c>
      <c r="C10" s="88">
        <f>Multi_Family!G32</f>
        <v>0.768375</v>
      </c>
      <c r="D10" s="89">
        <f>Multi_Family!G34</f>
        <v>18.11316</v>
      </c>
      <c r="E10" s="88">
        <f>Multi_Family!G35</f>
        <v>0</v>
      </c>
      <c r="F10" s="88">
        <f>Multi_Family!G30</f>
        <v>1.690425</v>
      </c>
      <c r="G10" s="88">
        <f>Multi_Family!G27</f>
        <v>19.97775</v>
      </c>
      <c r="H10" s="88">
        <f>Multi_Family!G37</f>
        <v>32.96841</v>
      </c>
      <c r="I10" s="88">
        <f>Multi_Family!G31/2</f>
        <v>2.3000025</v>
      </c>
      <c r="J10" s="88">
        <f>Multi_Family!G31/2</f>
        <v>2.3000025</v>
      </c>
      <c r="K10" s="88">
        <f>Multi_Family!G28</f>
        <v>18.25659</v>
      </c>
      <c r="L10" s="88">
        <f>Multi_Family!G36</f>
        <v>6.075285000000013</v>
      </c>
      <c r="M10" s="48"/>
      <c r="N10" s="116">
        <f t="shared" si="0"/>
        <v>102.45000000000003</v>
      </c>
      <c r="P10" s="53"/>
    </row>
    <row r="11" spans="1:16" ht="12.75">
      <c r="A11" s="50">
        <f t="shared" si="1"/>
        <v>41943</v>
      </c>
      <c r="B11" s="51" t="s">
        <v>54</v>
      </c>
      <c r="C11" s="88">
        <f>Multi_Family!H32</f>
        <v>0.7554</v>
      </c>
      <c r="D11" s="89">
        <f>Multi_Family!H34</f>
        <v>17.807296</v>
      </c>
      <c r="E11" s="88">
        <f>Multi_Family!H35</f>
        <v>0</v>
      </c>
      <c r="F11" s="88">
        <f>Multi_Family!H30</f>
        <v>1.66188</v>
      </c>
      <c r="G11" s="88">
        <f>Multi_Family!H27</f>
        <v>19.6404</v>
      </c>
      <c r="H11" s="88">
        <f>Multi_Family!H37</f>
        <v>32.411696</v>
      </c>
      <c r="I11" s="88">
        <f>Multi_Family!H31/2</f>
        <v>2.261164</v>
      </c>
      <c r="J11" s="88">
        <f>Multi_Family!H31/2</f>
        <v>2.261164</v>
      </c>
      <c r="K11" s="88">
        <f>Multi_Family!H28</f>
        <v>17.948304</v>
      </c>
      <c r="L11" s="88">
        <f>Multi_Family!H36</f>
        <v>5.972696000000013</v>
      </c>
      <c r="M11" s="48"/>
      <c r="N11" s="116">
        <f t="shared" si="0"/>
        <v>100.72</v>
      </c>
      <c r="P11" s="53"/>
    </row>
    <row r="12" spans="1:16" ht="12.75">
      <c r="A12" s="50">
        <f t="shared" si="1"/>
        <v>41973</v>
      </c>
      <c r="B12" s="51" t="s">
        <v>55</v>
      </c>
      <c r="C12" s="88">
        <f>Multi_Family!I32</f>
        <v>0.66315</v>
      </c>
      <c r="D12" s="89">
        <f>Multi_Family!I34</f>
        <v>15.632656</v>
      </c>
      <c r="E12" s="88">
        <f>Multi_Family!I35</f>
        <v>0</v>
      </c>
      <c r="F12" s="88">
        <f>Multi_Family!I30</f>
        <v>1.45893</v>
      </c>
      <c r="G12" s="88">
        <f>Multi_Family!I27</f>
        <v>17.2419</v>
      </c>
      <c r="H12" s="88">
        <f>Multi_Family!I37</f>
        <v>28.453556</v>
      </c>
      <c r="I12" s="88">
        <f>Multi_Family!I31/2</f>
        <v>1.9850290000000002</v>
      </c>
      <c r="J12" s="88">
        <f>Multi_Family!I31/2</f>
        <v>1.9850290000000002</v>
      </c>
      <c r="K12" s="88">
        <f>Multi_Family!I28</f>
        <v>15.756444</v>
      </c>
      <c r="L12" s="88">
        <f>Multi_Family!I36</f>
        <v>5.243306000000012</v>
      </c>
      <c r="M12" s="48"/>
      <c r="N12" s="116">
        <f t="shared" si="0"/>
        <v>88.42000000000002</v>
      </c>
      <c r="P12" s="53"/>
    </row>
    <row r="13" spans="1:16" ht="12.75">
      <c r="A13" s="50">
        <f t="shared" si="1"/>
        <v>42004</v>
      </c>
      <c r="B13" s="51" t="s">
        <v>56</v>
      </c>
      <c r="C13" s="88">
        <f>Multi_Family!J32</f>
        <v>0.328575</v>
      </c>
      <c r="D13" s="89">
        <f>Multi_Family!J34</f>
        <v>7.745608000000001</v>
      </c>
      <c r="E13" s="88">
        <f>Multi_Family!J35</f>
        <v>0</v>
      </c>
      <c r="F13" s="88">
        <f>Multi_Family!J30</f>
        <v>0.7228650000000001</v>
      </c>
      <c r="G13" s="88">
        <f>Multi_Family!J27</f>
        <v>8.542950000000001</v>
      </c>
      <c r="H13" s="88">
        <f>Multi_Family!J37</f>
        <v>14.098058</v>
      </c>
      <c r="I13" s="88">
        <f>Multi_Family!J31/2</f>
        <v>0.9835345000000001</v>
      </c>
      <c r="J13" s="88">
        <f>Multi_Family!J31/2</f>
        <v>0.9835345000000001</v>
      </c>
      <c r="K13" s="88">
        <f>Multi_Family!J28</f>
        <v>7.806942</v>
      </c>
      <c r="L13" s="88">
        <f>Multi_Family!J36</f>
        <v>2.597933000000006</v>
      </c>
      <c r="M13" s="48"/>
      <c r="N13" s="116">
        <f t="shared" si="0"/>
        <v>43.81</v>
      </c>
      <c r="P13" s="53"/>
    </row>
    <row r="14" spans="1:16" ht="12.75">
      <c r="A14" s="50">
        <f t="shared" si="1"/>
        <v>42035</v>
      </c>
      <c r="B14" s="51" t="s">
        <v>57</v>
      </c>
      <c r="C14" s="88">
        <f>Multi_Family!K32</f>
        <v>0.6654</v>
      </c>
      <c r="D14" s="89">
        <f>Multi_Family!K34</f>
        <v>15.685696</v>
      </c>
      <c r="E14" s="88">
        <f>Multi_Family!K35</f>
        <v>0</v>
      </c>
      <c r="F14" s="88">
        <f>Multi_Family!K30</f>
        <v>1.46388</v>
      </c>
      <c r="G14" s="88">
        <f>Multi_Family!K27</f>
        <v>17.3004</v>
      </c>
      <c r="H14" s="88">
        <f>Multi_Family!K37</f>
        <v>28.550095999999996</v>
      </c>
      <c r="I14" s="88">
        <f>Multi_Family!K31/2</f>
        <v>1.991764</v>
      </c>
      <c r="J14" s="88">
        <f>Multi_Family!K31/2</f>
        <v>1.991764</v>
      </c>
      <c r="K14" s="88">
        <f>Multi_Family!K28</f>
        <v>15.809904</v>
      </c>
      <c r="L14" s="88">
        <f>Multi_Family!K36</f>
        <v>5.261096000000012</v>
      </c>
      <c r="M14" s="48"/>
      <c r="N14" s="116">
        <f t="shared" si="0"/>
        <v>88.72000000000001</v>
      </c>
      <c r="P14" s="53"/>
    </row>
    <row r="15" spans="1:16" ht="12.75">
      <c r="A15" s="50">
        <f t="shared" si="1"/>
        <v>42063</v>
      </c>
      <c r="B15" s="51" t="s">
        <v>58</v>
      </c>
      <c r="C15" s="88">
        <f>Multi_Family!L32</f>
        <v>0.565125</v>
      </c>
      <c r="D15" s="89">
        <f>Multi_Family!L34</f>
        <v>13.32188</v>
      </c>
      <c r="E15" s="88">
        <f>Multi_Family!L35</f>
        <v>0</v>
      </c>
      <c r="F15" s="88">
        <f>Multi_Family!L30</f>
        <v>1.243275</v>
      </c>
      <c r="G15" s="88">
        <f>Multi_Family!L27</f>
        <v>14.693249999999999</v>
      </c>
      <c r="H15" s="88">
        <f>Multi_Family!L37</f>
        <v>24.247629999999997</v>
      </c>
      <c r="I15" s="88">
        <f>Multi_Family!L31/2</f>
        <v>1.6916075</v>
      </c>
      <c r="J15" s="88">
        <f>Multi_Family!L31/2</f>
        <v>1.6916075</v>
      </c>
      <c r="K15" s="88">
        <f>Multi_Family!L28</f>
        <v>13.427369999999998</v>
      </c>
      <c r="L15" s="88">
        <f>Multi_Family!L36</f>
        <v>4.46825500000001</v>
      </c>
      <c r="M15" s="48"/>
      <c r="N15" s="116">
        <f t="shared" si="0"/>
        <v>75.35000000000001</v>
      </c>
      <c r="P15" s="53"/>
    </row>
    <row r="16" spans="1:16" ht="12.75">
      <c r="A16" s="50">
        <f t="shared" si="1"/>
        <v>42094</v>
      </c>
      <c r="B16" s="51" t="s">
        <v>59</v>
      </c>
      <c r="C16" s="88">
        <f>Multi_Family!M32</f>
        <v>0.6486749999999999</v>
      </c>
      <c r="D16" s="89">
        <f>Multi_Family!M34</f>
        <v>15.291432</v>
      </c>
      <c r="E16" s="88">
        <f>Multi_Family!M35</f>
        <v>0</v>
      </c>
      <c r="F16" s="88">
        <f>Multi_Family!M30</f>
        <v>1.427085</v>
      </c>
      <c r="G16" s="88">
        <f>Multi_Family!M27</f>
        <v>16.86555</v>
      </c>
      <c r="H16" s="88">
        <f>Multi_Family!M37</f>
        <v>27.832481999999995</v>
      </c>
      <c r="I16" s="88">
        <f>Multi_Family!M31/2</f>
        <v>1.9417005</v>
      </c>
      <c r="J16" s="88">
        <f>Multi_Family!M31/2</f>
        <v>1.9417005</v>
      </c>
      <c r="K16" s="88">
        <f>Multi_Family!M28</f>
        <v>15.412517999999999</v>
      </c>
      <c r="L16" s="88">
        <f>Multi_Family!M36</f>
        <v>5.128857000000011</v>
      </c>
      <c r="M16" s="48"/>
      <c r="N16" s="116">
        <f t="shared" si="0"/>
        <v>86.49000000000001</v>
      </c>
      <c r="P16" s="53"/>
    </row>
    <row r="17" spans="1:16" ht="12.75">
      <c r="A17" s="50">
        <f t="shared" si="1"/>
        <v>42124</v>
      </c>
      <c r="B17" s="51" t="s">
        <v>60</v>
      </c>
      <c r="C17" s="88">
        <f>Multi_Family!N32</f>
        <v>0.661875</v>
      </c>
      <c r="D17" s="89">
        <f>Multi_Family!N34</f>
        <v>15.6026</v>
      </c>
      <c r="E17" s="88">
        <f>Multi_Family!N35</f>
        <v>0</v>
      </c>
      <c r="F17" s="88">
        <f>Multi_Family!N30</f>
        <v>1.4561250000000001</v>
      </c>
      <c r="G17" s="88">
        <f>Multi_Family!N27</f>
        <v>17.208750000000002</v>
      </c>
      <c r="H17" s="88">
        <f>Multi_Family!N37</f>
        <v>28.39885</v>
      </c>
      <c r="I17" s="88">
        <f>Multi_Family!N31/2</f>
        <v>1.9812125</v>
      </c>
      <c r="J17" s="88">
        <f>Multi_Family!N31/2</f>
        <v>1.9812125</v>
      </c>
      <c r="K17" s="88">
        <f>Multi_Family!N28</f>
        <v>15.72615</v>
      </c>
      <c r="L17" s="88">
        <f>Multi_Family!N36</f>
        <v>5.233225000000012</v>
      </c>
      <c r="M17" s="48"/>
      <c r="N17" s="116">
        <f t="shared" si="0"/>
        <v>88.25</v>
      </c>
      <c r="P17" s="53"/>
    </row>
    <row r="18" spans="1:15" ht="12.75">
      <c r="A18" s="54" t="s">
        <v>26</v>
      </c>
      <c r="B18" s="51"/>
      <c r="C18" s="128">
        <f aca="true" t="shared" si="2" ref="C18:L18">SUM(C6:C17)</f>
        <v>7.7646749999999995</v>
      </c>
      <c r="D18" s="128">
        <f t="shared" si="2"/>
        <v>183.03927200000004</v>
      </c>
      <c r="E18" s="128">
        <f t="shared" si="2"/>
        <v>0</v>
      </c>
      <c r="F18" s="128">
        <f t="shared" si="2"/>
        <v>17.082285</v>
      </c>
      <c r="G18" s="128">
        <f t="shared" si="2"/>
        <v>201.88155</v>
      </c>
      <c r="H18" s="128">
        <f t="shared" si="2"/>
        <v>333.15632199999993</v>
      </c>
      <c r="I18" s="128">
        <f t="shared" si="2"/>
        <v>23.242260500000004</v>
      </c>
      <c r="J18" s="128">
        <f t="shared" si="2"/>
        <v>23.242260500000004</v>
      </c>
      <c r="K18" s="128">
        <f t="shared" si="2"/>
        <v>184.488678</v>
      </c>
      <c r="L18" s="128">
        <f t="shared" si="2"/>
        <v>61.39269700000013</v>
      </c>
      <c r="M18" s="48"/>
      <c r="N18" s="129">
        <f>SUM(N6:N17)</f>
        <v>1035.29</v>
      </c>
      <c r="O18" s="52"/>
    </row>
    <row r="19" spans="1:14" ht="12.75">
      <c r="A19" s="50"/>
      <c r="B19" s="51"/>
      <c r="C19" s="51"/>
      <c r="D19" s="51"/>
      <c r="E19" s="51"/>
      <c r="F19" s="51"/>
      <c r="G19" s="51"/>
      <c r="H19" s="51"/>
      <c r="I19" s="51"/>
      <c r="J19" s="51"/>
      <c r="K19" s="51"/>
      <c r="L19" s="51"/>
      <c r="M19" s="48"/>
      <c r="N19" s="52"/>
    </row>
    <row r="20" spans="1:14" ht="12.75">
      <c r="A20" s="42"/>
      <c r="B20" s="51"/>
      <c r="C20" s="51"/>
      <c r="D20" s="51"/>
      <c r="E20" s="51"/>
      <c r="F20" s="51"/>
      <c r="G20" s="51"/>
      <c r="H20" s="51"/>
      <c r="I20" s="51"/>
      <c r="J20" s="51"/>
      <c r="K20" s="51"/>
      <c r="L20" s="51"/>
      <c r="M20" s="48"/>
      <c r="N20" s="52"/>
    </row>
    <row r="21" spans="1:14" ht="12.75">
      <c r="A21" s="50"/>
      <c r="B21" s="51"/>
      <c r="C21" s="51"/>
      <c r="D21" s="51"/>
      <c r="E21" s="51"/>
      <c r="F21" s="51"/>
      <c r="G21" s="51"/>
      <c r="H21" s="51"/>
      <c r="I21" s="51"/>
      <c r="J21" s="51"/>
      <c r="K21" s="51"/>
      <c r="L21" s="51"/>
      <c r="M21" s="48"/>
      <c r="N21" s="52"/>
    </row>
    <row r="22" spans="1:14" ht="12.75">
      <c r="A22" s="50"/>
      <c r="B22" s="51"/>
      <c r="C22" s="51"/>
      <c r="D22" s="51"/>
      <c r="E22" s="51"/>
      <c r="F22" s="51"/>
      <c r="G22" s="51"/>
      <c r="H22" s="51"/>
      <c r="I22" s="51"/>
      <c r="J22" s="51"/>
      <c r="K22" s="51"/>
      <c r="L22" s="51"/>
      <c r="M22" s="48"/>
      <c r="N22" s="52"/>
    </row>
    <row r="23" spans="1:14" ht="12.75">
      <c r="A23" s="51"/>
      <c r="B23" s="51"/>
      <c r="C23" s="51"/>
      <c r="D23" s="51"/>
      <c r="E23" s="51"/>
      <c r="F23" s="51"/>
      <c r="G23" s="51"/>
      <c r="H23" s="51"/>
      <c r="I23" s="51"/>
      <c r="J23" s="51"/>
      <c r="K23" s="51"/>
      <c r="L23" s="51"/>
      <c r="M23" s="48"/>
      <c r="N23" s="52"/>
    </row>
    <row r="24" spans="1:14" ht="12.75">
      <c r="A24" s="51"/>
      <c r="B24" s="51"/>
      <c r="C24" s="51"/>
      <c r="D24" s="51"/>
      <c r="E24" s="51"/>
      <c r="F24" s="51"/>
      <c r="G24" s="51"/>
      <c r="H24" s="51"/>
      <c r="I24" s="51"/>
      <c r="J24" s="51"/>
      <c r="K24" s="51"/>
      <c r="L24" s="51"/>
      <c r="M24" s="48"/>
      <c r="N24" s="52"/>
    </row>
    <row r="25" spans="1:14" ht="12.75">
      <c r="A25" s="51"/>
      <c r="B25" s="51"/>
      <c r="C25" s="51"/>
      <c r="E25" s="51"/>
      <c r="F25" s="51"/>
      <c r="G25" s="51"/>
      <c r="H25" s="51"/>
      <c r="I25" s="51"/>
      <c r="J25" s="51"/>
      <c r="K25" s="51"/>
      <c r="L25" s="51"/>
      <c r="M25" s="48"/>
      <c r="N25" s="52"/>
    </row>
    <row r="26" spans="1:14" ht="12.75">
      <c r="A26" s="51"/>
      <c r="B26" s="51"/>
      <c r="C26" s="51"/>
      <c r="D26" s="51"/>
      <c r="E26" s="51"/>
      <c r="F26" s="51"/>
      <c r="G26" s="51"/>
      <c r="H26" s="51"/>
      <c r="I26" s="51"/>
      <c r="J26" s="51"/>
      <c r="K26" s="51"/>
      <c r="L26" s="51"/>
      <c r="M26" s="48"/>
      <c r="N26" s="52"/>
    </row>
    <row r="27" spans="1:14" ht="12.75">
      <c r="A27" s="51"/>
      <c r="B27" s="51"/>
      <c r="C27" s="51"/>
      <c r="D27" s="51"/>
      <c r="E27" s="51"/>
      <c r="F27" s="51"/>
      <c r="G27" s="51"/>
      <c r="H27" s="51"/>
      <c r="I27" s="51"/>
      <c r="J27" s="51"/>
      <c r="K27" s="51"/>
      <c r="L27" s="51"/>
      <c r="M27" s="48"/>
      <c r="N27" s="52"/>
    </row>
    <row r="28" spans="1:14" ht="12.75">
      <c r="A28" s="51"/>
      <c r="B28" s="51"/>
      <c r="C28" s="51"/>
      <c r="D28" s="51"/>
      <c r="E28" s="51"/>
      <c r="F28" s="51"/>
      <c r="G28" s="51"/>
      <c r="H28" s="51"/>
      <c r="I28" s="51"/>
      <c r="J28" s="51"/>
      <c r="K28" s="51"/>
      <c r="L28" s="51"/>
      <c r="M28" s="48"/>
      <c r="N28" s="51"/>
    </row>
    <row r="29" spans="1:14" ht="12.75">
      <c r="A29" s="51"/>
      <c r="B29" s="51"/>
      <c r="C29" s="51"/>
      <c r="D29" s="51"/>
      <c r="E29" s="51"/>
      <c r="F29" s="51"/>
      <c r="G29" s="51"/>
      <c r="H29" s="51"/>
      <c r="I29" s="51"/>
      <c r="J29" s="51"/>
      <c r="K29" s="51"/>
      <c r="L29" s="51"/>
      <c r="M29" s="48"/>
      <c r="N29" s="51"/>
    </row>
    <row r="30" spans="1:14" ht="12.75">
      <c r="A30" s="51"/>
      <c r="B30" s="51"/>
      <c r="C30" s="51"/>
      <c r="D30" s="51"/>
      <c r="E30" s="51"/>
      <c r="F30" s="51"/>
      <c r="G30" s="51"/>
      <c r="H30" s="51"/>
      <c r="I30" s="51"/>
      <c r="J30" s="51"/>
      <c r="K30" s="51"/>
      <c r="L30" s="51"/>
      <c r="M30" s="48"/>
      <c r="N30" s="51"/>
    </row>
    <row r="31" spans="1:14" ht="12.75">
      <c r="A31" s="51"/>
      <c r="B31" s="51"/>
      <c r="C31" s="51"/>
      <c r="D31" s="51"/>
      <c r="E31" s="51"/>
      <c r="F31" s="51"/>
      <c r="G31" s="51"/>
      <c r="H31" s="51"/>
      <c r="I31" s="51"/>
      <c r="J31" s="51"/>
      <c r="K31" s="51"/>
      <c r="L31" s="51"/>
      <c r="M31" s="48"/>
      <c r="N31" s="51"/>
    </row>
    <row r="32" spans="1:14" ht="12.75">
      <c r="A32" s="51"/>
      <c r="B32" s="51"/>
      <c r="C32" s="51"/>
      <c r="D32" s="51"/>
      <c r="E32" s="51"/>
      <c r="F32" s="51"/>
      <c r="G32" s="51"/>
      <c r="H32" s="51"/>
      <c r="I32" s="51"/>
      <c r="J32" s="51"/>
      <c r="K32" s="51"/>
      <c r="L32" s="51"/>
      <c r="M32" s="48"/>
      <c r="N32" s="51"/>
    </row>
    <row r="33" spans="1:14" ht="12.75">
      <c r="A33" s="51"/>
      <c r="B33" s="51"/>
      <c r="C33" s="51"/>
      <c r="D33" s="51"/>
      <c r="E33" s="51"/>
      <c r="F33" s="51"/>
      <c r="G33" s="51"/>
      <c r="H33" s="51"/>
      <c r="I33" s="51"/>
      <c r="J33" s="51"/>
      <c r="K33" s="51"/>
      <c r="L33" s="51"/>
      <c r="M33" s="48"/>
      <c r="N33" s="51"/>
    </row>
    <row r="34" spans="1:14" ht="12.75">
      <c r="A34" s="51"/>
      <c r="B34" s="51"/>
      <c r="C34" s="51"/>
      <c r="D34" s="51"/>
      <c r="E34" s="51"/>
      <c r="F34" s="51"/>
      <c r="G34" s="51"/>
      <c r="H34" s="51"/>
      <c r="I34" s="51"/>
      <c r="J34" s="51"/>
      <c r="K34" s="51"/>
      <c r="L34" s="51"/>
      <c r="M34" s="48"/>
      <c r="N34" s="51"/>
    </row>
    <row r="35" spans="1:14" ht="12.75">
      <c r="A35" s="51"/>
      <c r="B35" s="51"/>
      <c r="C35" s="51"/>
      <c r="D35" s="51"/>
      <c r="E35" s="51"/>
      <c r="F35" s="51"/>
      <c r="G35" s="51"/>
      <c r="H35" s="51"/>
      <c r="I35" s="51"/>
      <c r="J35" s="51"/>
      <c r="K35" s="51"/>
      <c r="L35" s="51"/>
      <c r="M35" s="48"/>
      <c r="N35" s="51"/>
    </row>
    <row r="36" spans="1:14" ht="12.75">
      <c r="A36" s="51"/>
      <c r="B36" s="51"/>
      <c r="C36" s="51"/>
      <c r="D36" s="51"/>
      <c r="E36" s="51"/>
      <c r="F36" s="51"/>
      <c r="G36" s="51"/>
      <c r="H36" s="51"/>
      <c r="I36" s="51"/>
      <c r="J36" s="51"/>
      <c r="K36" s="51"/>
      <c r="L36" s="51"/>
      <c r="M36" s="48"/>
      <c r="N36" s="51"/>
    </row>
    <row r="37" spans="1:14" ht="12.75">
      <c r="A37" s="51"/>
      <c r="B37" s="51"/>
      <c r="C37" s="51"/>
      <c r="D37" s="51"/>
      <c r="E37" s="51"/>
      <c r="F37" s="51"/>
      <c r="G37" s="51"/>
      <c r="H37" s="51"/>
      <c r="I37" s="51"/>
      <c r="J37" s="51"/>
      <c r="K37" s="51"/>
      <c r="L37" s="51"/>
      <c r="M37" s="48"/>
      <c r="N37" s="51"/>
    </row>
    <row r="38" spans="1:14" ht="12.75">
      <c r="A38" s="51"/>
      <c r="B38" s="51"/>
      <c r="C38" s="51"/>
      <c r="D38" s="51"/>
      <c r="E38" s="51"/>
      <c r="F38" s="51"/>
      <c r="G38" s="51"/>
      <c r="H38" s="51"/>
      <c r="I38" s="51"/>
      <c r="J38" s="51"/>
      <c r="K38" s="51"/>
      <c r="L38" s="51"/>
      <c r="M38" s="48"/>
      <c r="N38" s="51"/>
    </row>
    <row r="39" spans="1:14" ht="12.75">
      <c r="A39" s="51"/>
      <c r="B39" s="51"/>
      <c r="C39" s="51"/>
      <c r="D39" s="51"/>
      <c r="E39" s="51"/>
      <c r="F39" s="51"/>
      <c r="G39" s="51"/>
      <c r="H39" s="51"/>
      <c r="I39" s="51"/>
      <c r="J39" s="51"/>
      <c r="K39" s="51"/>
      <c r="L39" s="51"/>
      <c r="M39" s="51"/>
      <c r="N39" s="51"/>
    </row>
    <row r="40" spans="1:14" ht="12.75">
      <c r="A40" s="51"/>
      <c r="B40" s="51"/>
      <c r="C40" s="51"/>
      <c r="D40" s="51"/>
      <c r="E40" s="51"/>
      <c r="F40" s="51"/>
      <c r="G40" s="51"/>
      <c r="H40" s="51"/>
      <c r="I40" s="51"/>
      <c r="J40" s="51"/>
      <c r="K40" s="51"/>
      <c r="L40" s="51"/>
      <c r="M40" s="51"/>
      <c r="N40" s="51"/>
    </row>
    <row r="41" spans="1:14" ht="12.75">
      <c r="A41" s="51"/>
      <c r="B41" s="51"/>
      <c r="C41" s="51"/>
      <c r="D41" s="51"/>
      <c r="E41" s="51"/>
      <c r="F41" s="51"/>
      <c r="G41" s="51"/>
      <c r="H41" s="51"/>
      <c r="I41" s="51"/>
      <c r="J41" s="51"/>
      <c r="K41" s="51"/>
      <c r="L41" s="51"/>
      <c r="M41" s="51"/>
      <c r="N41" s="51"/>
    </row>
    <row r="42" spans="1:14" ht="12.75">
      <c r="A42" s="51"/>
      <c r="B42" s="51"/>
      <c r="C42" s="51"/>
      <c r="D42" s="51"/>
      <c r="E42" s="51"/>
      <c r="F42" s="51"/>
      <c r="G42" s="51"/>
      <c r="H42" s="51"/>
      <c r="I42" s="51"/>
      <c r="J42" s="51"/>
      <c r="K42" s="51"/>
      <c r="L42" s="51"/>
      <c r="M42" s="51"/>
      <c r="N42" s="51"/>
    </row>
    <row r="43" spans="1:14" ht="12.75">
      <c r="A43" s="51"/>
      <c r="B43" s="51"/>
      <c r="C43" s="51"/>
      <c r="D43" s="51"/>
      <c r="E43" s="51"/>
      <c r="F43" s="51"/>
      <c r="G43" s="51"/>
      <c r="H43" s="51"/>
      <c r="I43" s="51"/>
      <c r="J43" s="51"/>
      <c r="K43" s="51"/>
      <c r="L43" s="51"/>
      <c r="M43" s="51"/>
      <c r="N43" s="51"/>
    </row>
    <row r="44" spans="1:14" ht="12.75">
      <c r="A44" s="51"/>
      <c r="B44" s="51"/>
      <c r="C44" s="51"/>
      <c r="D44" s="51"/>
      <c r="E44" s="51"/>
      <c r="F44" s="51"/>
      <c r="G44" s="51"/>
      <c r="H44" s="51"/>
      <c r="I44" s="51"/>
      <c r="J44" s="51"/>
      <c r="K44" s="51"/>
      <c r="L44" s="51"/>
      <c r="M44" s="51"/>
      <c r="N44" s="51"/>
    </row>
    <row r="45" spans="1:14" ht="12.75">
      <c r="A45" s="51"/>
      <c r="B45" s="51"/>
      <c r="C45" s="51"/>
      <c r="D45" s="51"/>
      <c r="E45" s="51"/>
      <c r="F45" s="51"/>
      <c r="G45" s="51"/>
      <c r="H45" s="51"/>
      <c r="I45" s="51"/>
      <c r="J45" s="51"/>
      <c r="K45" s="51"/>
      <c r="L45" s="51"/>
      <c r="M45" s="51"/>
      <c r="N45" s="51"/>
    </row>
    <row r="46" spans="1:14" ht="12.75">
      <c r="A46" s="51"/>
      <c r="B46" s="51"/>
      <c r="C46" s="51"/>
      <c r="D46" s="51"/>
      <c r="E46" s="51"/>
      <c r="F46" s="51"/>
      <c r="G46" s="51"/>
      <c r="H46" s="51"/>
      <c r="I46" s="51"/>
      <c r="J46" s="51"/>
      <c r="K46" s="51"/>
      <c r="L46" s="51"/>
      <c r="M46" s="51"/>
      <c r="N46" s="51"/>
    </row>
    <row r="47" spans="1:14" ht="12.75">
      <c r="A47" s="51"/>
      <c r="B47" s="51"/>
      <c r="C47" s="51"/>
      <c r="D47" s="51"/>
      <c r="E47" s="51"/>
      <c r="F47" s="51"/>
      <c r="G47" s="51"/>
      <c r="H47" s="51"/>
      <c r="I47" s="51"/>
      <c r="J47" s="51"/>
      <c r="K47" s="51"/>
      <c r="L47" s="51"/>
      <c r="M47" s="51"/>
      <c r="N47" s="51"/>
    </row>
    <row r="48" spans="1:14" ht="12.75">
      <c r="A48" s="51"/>
      <c r="B48" s="51"/>
      <c r="C48" s="51"/>
      <c r="D48" s="51"/>
      <c r="E48" s="51"/>
      <c r="F48" s="51"/>
      <c r="G48" s="51"/>
      <c r="H48" s="51"/>
      <c r="I48" s="51"/>
      <c r="J48" s="51"/>
      <c r="K48" s="51"/>
      <c r="L48" s="51"/>
      <c r="M48" s="51"/>
      <c r="N48" s="51"/>
    </row>
    <row r="49" spans="1:14" ht="12.75">
      <c r="A49" s="51"/>
      <c r="B49" s="51"/>
      <c r="C49" s="51"/>
      <c r="D49" s="51"/>
      <c r="E49" s="51"/>
      <c r="F49" s="51"/>
      <c r="G49" s="51"/>
      <c r="H49" s="51"/>
      <c r="I49" s="51"/>
      <c r="J49" s="51"/>
      <c r="K49" s="51"/>
      <c r="L49" s="51"/>
      <c r="M49" s="51"/>
      <c r="N49" s="51"/>
    </row>
    <row r="50" spans="1:14" ht="12.75">
      <c r="A50" s="51"/>
      <c r="B50" s="51"/>
      <c r="C50" s="51"/>
      <c r="D50" s="51"/>
      <c r="E50" s="51"/>
      <c r="F50" s="51"/>
      <c r="G50" s="51"/>
      <c r="H50" s="51"/>
      <c r="I50" s="51"/>
      <c r="J50" s="51"/>
      <c r="K50" s="51"/>
      <c r="L50" s="51"/>
      <c r="M50" s="51"/>
      <c r="N50" s="51"/>
    </row>
    <row r="51" spans="1:14" ht="12.75">
      <c r="A51" s="51"/>
      <c r="B51" s="51"/>
      <c r="C51" s="51"/>
      <c r="D51" s="51"/>
      <c r="E51" s="51"/>
      <c r="F51" s="51"/>
      <c r="G51" s="51"/>
      <c r="H51" s="51"/>
      <c r="I51" s="51"/>
      <c r="J51" s="51"/>
      <c r="K51" s="51"/>
      <c r="L51" s="51"/>
      <c r="M51" s="51"/>
      <c r="N51" s="51"/>
    </row>
    <row r="52" spans="1:14" ht="12.75">
      <c r="A52" s="51"/>
      <c r="B52" s="51"/>
      <c r="C52" s="51"/>
      <c r="D52" s="51"/>
      <c r="E52" s="51"/>
      <c r="F52" s="51"/>
      <c r="G52" s="51"/>
      <c r="H52" s="51"/>
      <c r="I52" s="51"/>
      <c r="J52" s="51"/>
      <c r="K52" s="51"/>
      <c r="L52" s="51"/>
      <c r="M52" s="51"/>
      <c r="N52" s="51"/>
    </row>
    <row r="53" spans="1:14" ht="12.75">
      <c r="A53" s="51"/>
      <c r="B53" s="51"/>
      <c r="C53" s="51"/>
      <c r="D53" s="51"/>
      <c r="E53" s="51"/>
      <c r="F53" s="51"/>
      <c r="G53" s="51"/>
      <c r="H53" s="51"/>
      <c r="I53" s="51"/>
      <c r="J53" s="51"/>
      <c r="K53" s="51"/>
      <c r="L53" s="51"/>
      <c r="M53" s="51"/>
      <c r="N53" s="51"/>
    </row>
    <row r="54" spans="1:14" ht="12.75">
      <c r="A54" s="51"/>
      <c r="B54" s="51"/>
      <c r="C54" s="51"/>
      <c r="D54" s="51"/>
      <c r="E54" s="51"/>
      <c r="F54" s="51"/>
      <c r="G54" s="51"/>
      <c r="H54" s="51"/>
      <c r="I54" s="51"/>
      <c r="J54" s="51"/>
      <c r="K54" s="51"/>
      <c r="L54" s="51"/>
      <c r="M54" s="51"/>
      <c r="N54" s="51"/>
    </row>
    <row r="55" spans="1:14" ht="12.75">
      <c r="A55" s="51"/>
      <c r="B55" s="51"/>
      <c r="C55" s="51"/>
      <c r="D55" s="51"/>
      <c r="E55" s="51"/>
      <c r="F55" s="51"/>
      <c r="G55" s="51"/>
      <c r="H55" s="51"/>
      <c r="I55" s="51"/>
      <c r="J55" s="51"/>
      <c r="K55" s="51"/>
      <c r="L55" s="51"/>
      <c r="M55" s="51"/>
      <c r="N55" s="51"/>
    </row>
    <row r="56" spans="1:14" ht="12.75">
      <c r="A56" s="51"/>
      <c r="B56" s="51"/>
      <c r="C56" s="51"/>
      <c r="D56" s="51"/>
      <c r="E56" s="51"/>
      <c r="F56" s="51"/>
      <c r="G56" s="51"/>
      <c r="H56" s="51"/>
      <c r="I56" s="51"/>
      <c r="J56" s="51"/>
      <c r="K56" s="51"/>
      <c r="L56" s="51"/>
      <c r="M56" s="51"/>
      <c r="N56" s="51"/>
    </row>
    <row r="57" spans="1:14" ht="12.75">
      <c r="A57" s="51"/>
      <c r="B57" s="51"/>
      <c r="C57" s="51"/>
      <c r="D57" s="51"/>
      <c r="E57" s="51"/>
      <c r="F57" s="51"/>
      <c r="G57" s="51"/>
      <c r="H57" s="51"/>
      <c r="I57" s="51"/>
      <c r="J57" s="51"/>
      <c r="K57" s="51"/>
      <c r="L57" s="51"/>
      <c r="M57" s="51"/>
      <c r="N57" s="51"/>
    </row>
    <row r="58" spans="1:14" ht="12.75">
      <c r="A58" s="51"/>
      <c r="B58" s="51"/>
      <c r="C58" s="51"/>
      <c r="D58" s="51"/>
      <c r="E58" s="51"/>
      <c r="F58" s="51"/>
      <c r="G58" s="51"/>
      <c r="H58" s="51"/>
      <c r="I58" s="51"/>
      <c r="J58" s="51"/>
      <c r="K58" s="51"/>
      <c r="L58" s="51"/>
      <c r="M58" s="51"/>
      <c r="N58" s="51"/>
    </row>
    <row r="59" spans="1:14" ht="12.75">
      <c r="A59" s="51"/>
      <c r="B59" s="51"/>
      <c r="C59" s="51"/>
      <c r="D59" s="51"/>
      <c r="E59" s="51"/>
      <c r="F59" s="51"/>
      <c r="G59" s="51"/>
      <c r="H59" s="51"/>
      <c r="I59" s="51"/>
      <c r="J59" s="51"/>
      <c r="K59" s="51"/>
      <c r="L59" s="51"/>
      <c r="M59" s="51"/>
      <c r="N59" s="51"/>
    </row>
    <row r="60" spans="1:14" ht="12.75">
      <c r="A60" s="51"/>
      <c r="B60" s="51"/>
      <c r="C60" s="51"/>
      <c r="D60" s="51"/>
      <c r="E60" s="51"/>
      <c r="F60" s="51"/>
      <c r="G60" s="51"/>
      <c r="H60" s="51"/>
      <c r="I60" s="51"/>
      <c r="J60" s="51"/>
      <c r="K60" s="51"/>
      <c r="L60" s="51"/>
      <c r="M60" s="51"/>
      <c r="N60" s="51"/>
    </row>
    <row r="61" spans="1:14" ht="12.75">
      <c r="A61" s="51"/>
      <c r="B61" s="51"/>
      <c r="C61" s="51"/>
      <c r="D61" s="51"/>
      <c r="E61" s="51"/>
      <c r="F61" s="51"/>
      <c r="G61" s="51"/>
      <c r="H61" s="51"/>
      <c r="I61" s="51"/>
      <c r="J61" s="51"/>
      <c r="K61" s="51"/>
      <c r="L61" s="51"/>
      <c r="M61" s="51"/>
      <c r="N61" s="51"/>
    </row>
    <row r="62" spans="1:14" ht="12.75">
      <c r="A62" s="51"/>
      <c r="B62" s="51"/>
      <c r="C62" s="51"/>
      <c r="D62" s="51"/>
      <c r="E62" s="51"/>
      <c r="F62" s="51"/>
      <c r="G62" s="51"/>
      <c r="H62" s="51"/>
      <c r="I62" s="51"/>
      <c r="J62" s="51"/>
      <c r="K62" s="51"/>
      <c r="L62" s="51"/>
      <c r="M62" s="51"/>
      <c r="N62" s="51"/>
    </row>
    <row r="63" spans="1:14" ht="12.75">
      <c r="A63" s="51"/>
      <c r="B63" s="51"/>
      <c r="C63" s="51"/>
      <c r="D63" s="51"/>
      <c r="E63" s="51"/>
      <c r="F63" s="51"/>
      <c r="G63" s="51"/>
      <c r="H63" s="51"/>
      <c r="I63" s="51"/>
      <c r="J63" s="51"/>
      <c r="K63" s="51"/>
      <c r="L63" s="51"/>
      <c r="M63" s="51"/>
      <c r="N63" s="51"/>
    </row>
    <row r="64" spans="1:14" ht="12.75">
      <c r="A64" s="51"/>
      <c r="B64" s="51"/>
      <c r="C64" s="51"/>
      <c r="D64" s="51"/>
      <c r="E64" s="51"/>
      <c r="F64" s="51"/>
      <c r="G64" s="51"/>
      <c r="H64" s="51"/>
      <c r="I64" s="51"/>
      <c r="J64" s="51"/>
      <c r="K64" s="51"/>
      <c r="L64" s="51"/>
      <c r="M64" s="51"/>
      <c r="N64" s="51"/>
    </row>
    <row r="65" spans="1:14" ht="12.75">
      <c r="A65" s="51"/>
      <c r="B65" s="51"/>
      <c r="C65" s="51"/>
      <c r="D65" s="51"/>
      <c r="E65" s="51"/>
      <c r="F65" s="51"/>
      <c r="G65" s="51"/>
      <c r="H65" s="51"/>
      <c r="I65" s="51"/>
      <c r="J65" s="51"/>
      <c r="K65" s="51"/>
      <c r="L65" s="51"/>
      <c r="M65" s="51"/>
      <c r="N65" s="51"/>
    </row>
    <row r="66" spans="1:14" ht="12.75">
      <c r="A66" s="51"/>
      <c r="B66" s="51"/>
      <c r="C66" s="51"/>
      <c r="D66" s="51"/>
      <c r="E66" s="51"/>
      <c r="F66" s="51"/>
      <c r="G66" s="51"/>
      <c r="H66" s="51"/>
      <c r="I66" s="51"/>
      <c r="J66" s="51"/>
      <c r="K66" s="51"/>
      <c r="L66" s="51"/>
      <c r="M66" s="51"/>
      <c r="N66" s="51"/>
    </row>
    <row r="67" spans="1:14" ht="12.75">
      <c r="A67" s="51"/>
      <c r="B67" s="51"/>
      <c r="C67" s="51"/>
      <c r="D67" s="51"/>
      <c r="E67" s="51"/>
      <c r="F67" s="51"/>
      <c r="G67" s="51"/>
      <c r="H67" s="51"/>
      <c r="I67" s="51"/>
      <c r="J67" s="51"/>
      <c r="K67" s="51"/>
      <c r="L67" s="51"/>
      <c r="M67" s="51"/>
      <c r="N67" s="51"/>
    </row>
    <row r="68" spans="1:14" ht="12.75">
      <c r="A68" s="51"/>
      <c r="B68" s="51"/>
      <c r="C68" s="51"/>
      <c r="D68" s="51"/>
      <c r="E68" s="51"/>
      <c r="F68" s="51"/>
      <c r="G68" s="51"/>
      <c r="H68" s="51"/>
      <c r="I68" s="51"/>
      <c r="J68" s="51"/>
      <c r="K68" s="51"/>
      <c r="L68" s="51"/>
      <c r="M68" s="51"/>
      <c r="N68" s="51"/>
    </row>
    <row r="69" spans="1:14" ht="12.75">
      <c r="A69" s="51"/>
      <c r="B69" s="51"/>
      <c r="C69" s="51"/>
      <c r="D69" s="51"/>
      <c r="E69" s="51"/>
      <c r="F69" s="51"/>
      <c r="G69" s="51"/>
      <c r="H69" s="51"/>
      <c r="I69" s="51"/>
      <c r="J69" s="51"/>
      <c r="K69" s="51"/>
      <c r="L69" s="51"/>
      <c r="M69" s="51"/>
      <c r="N69" s="51"/>
    </row>
    <row r="70" spans="1:14" ht="12.75">
      <c r="A70" s="51"/>
      <c r="B70" s="51"/>
      <c r="C70" s="51"/>
      <c r="D70" s="51"/>
      <c r="E70" s="51"/>
      <c r="F70" s="51"/>
      <c r="G70" s="51"/>
      <c r="H70" s="51"/>
      <c r="I70" s="51"/>
      <c r="J70" s="51"/>
      <c r="K70" s="51"/>
      <c r="L70" s="51"/>
      <c r="M70" s="51"/>
      <c r="N70" s="51"/>
    </row>
    <row r="71" spans="1:14" ht="12.75">
      <c r="A71" s="51"/>
      <c r="B71" s="51"/>
      <c r="C71" s="51"/>
      <c r="D71" s="51"/>
      <c r="E71" s="51"/>
      <c r="F71" s="51"/>
      <c r="G71" s="51"/>
      <c r="H71" s="51"/>
      <c r="I71" s="51"/>
      <c r="J71" s="51"/>
      <c r="K71" s="51"/>
      <c r="L71" s="51"/>
      <c r="M71" s="51"/>
      <c r="N71" s="51"/>
    </row>
    <row r="72" spans="1:14" ht="12.75">
      <c r="A72" s="51"/>
      <c r="B72" s="51"/>
      <c r="C72" s="51"/>
      <c r="D72" s="51"/>
      <c r="E72" s="51"/>
      <c r="F72" s="51"/>
      <c r="G72" s="51"/>
      <c r="H72" s="51"/>
      <c r="I72" s="51"/>
      <c r="J72" s="51"/>
      <c r="K72" s="51"/>
      <c r="L72" s="51"/>
      <c r="M72" s="51"/>
      <c r="N72" s="51"/>
    </row>
    <row r="73" spans="1:14" ht="12.75">
      <c r="A73" s="51"/>
      <c r="B73" s="51"/>
      <c r="C73" s="51"/>
      <c r="D73" s="51"/>
      <c r="E73" s="51"/>
      <c r="F73" s="51"/>
      <c r="G73" s="51"/>
      <c r="H73" s="51"/>
      <c r="I73" s="51"/>
      <c r="J73" s="51"/>
      <c r="K73" s="51"/>
      <c r="L73" s="51"/>
      <c r="M73" s="51"/>
      <c r="N73" s="51"/>
    </row>
    <row r="74" spans="1:14" ht="12.75">
      <c r="A74" s="51"/>
      <c r="B74" s="51"/>
      <c r="C74" s="51"/>
      <c r="D74" s="51"/>
      <c r="E74" s="51"/>
      <c r="F74" s="51"/>
      <c r="G74" s="51"/>
      <c r="H74" s="51"/>
      <c r="I74" s="51"/>
      <c r="J74" s="51"/>
      <c r="K74" s="51"/>
      <c r="L74" s="51"/>
      <c r="M74" s="51"/>
      <c r="N74" s="51"/>
    </row>
    <row r="75" spans="1:14" ht="12.75">
      <c r="A75" s="51"/>
      <c r="B75" s="51"/>
      <c r="C75" s="51"/>
      <c r="D75" s="51"/>
      <c r="E75" s="51"/>
      <c r="F75" s="51"/>
      <c r="G75" s="51"/>
      <c r="H75" s="51"/>
      <c r="I75" s="51"/>
      <c r="J75" s="51"/>
      <c r="K75" s="51"/>
      <c r="L75" s="51"/>
      <c r="M75" s="51"/>
      <c r="N75" s="51"/>
    </row>
    <row r="76" spans="1:14" ht="12.75">
      <c r="A76" s="51"/>
      <c r="B76" s="51"/>
      <c r="C76" s="51"/>
      <c r="D76" s="51"/>
      <c r="E76" s="51"/>
      <c r="F76" s="51"/>
      <c r="G76" s="51"/>
      <c r="H76" s="51"/>
      <c r="I76" s="51"/>
      <c r="J76" s="51"/>
      <c r="K76" s="51"/>
      <c r="L76" s="51"/>
      <c r="M76" s="51"/>
      <c r="N76" s="51"/>
    </row>
    <row r="77" spans="1:14" ht="12.75">
      <c r="A77" s="51"/>
      <c r="B77" s="51"/>
      <c r="C77" s="51"/>
      <c r="D77" s="51"/>
      <c r="E77" s="51"/>
      <c r="F77" s="51"/>
      <c r="G77" s="51"/>
      <c r="H77" s="51"/>
      <c r="I77" s="51"/>
      <c r="J77" s="51"/>
      <c r="K77" s="51"/>
      <c r="L77" s="51"/>
      <c r="M77" s="51"/>
      <c r="N77" s="51"/>
    </row>
    <row r="78" spans="1:14" ht="12.75">
      <c r="A78" s="51"/>
      <c r="B78" s="51"/>
      <c r="C78" s="51"/>
      <c r="D78" s="51"/>
      <c r="E78" s="51"/>
      <c r="F78" s="51"/>
      <c r="G78" s="51"/>
      <c r="H78" s="51"/>
      <c r="I78" s="51"/>
      <c r="J78" s="51"/>
      <c r="K78" s="51"/>
      <c r="L78" s="51"/>
      <c r="M78" s="51"/>
      <c r="N78" s="51"/>
    </row>
    <row r="79" spans="1:14" ht="12.75">
      <c r="A79" s="51"/>
      <c r="B79" s="51"/>
      <c r="C79" s="51"/>
      <c r="D79" s="51"/>
      <c r="E79" s="51"/>
      <c r="F79" s="51"/>
      <c r="G79" s="51"/>
      <c r="H79" s="51"/>
      <c r="I79" s="51"/>
      <c r="J79" s="51"/>
      <c r="K79" s="51"/>
      <c r="L79" s="51"/>
      <c r="M79" s="51"/>
      <c r="N79" s="51"/>
    </row>
    <row r="80" spans="1:14" ht="12.75">
      <c r="A80" s="51"/>
      <c r="B80" s="51"/>
      <c r="C80" s="51"/>
      <c r="D80" s="51"/>
      <c r="E80" s="51"/>
      <c r="F80" s="51"/>
      <c r="G80" s="51"/>
      <c r="H80" s="51"/>
      <c r="I80" s="51"/>
      <c r="J80" s="51"/>
      <c r="K80" s="51"/>
      <c r="L80" s="51"/>
      <c r="M80" s="51"/>
      <c r="N80" s="51"/>
    </row>
    <row r="81" spans="1:14" ht="12.75">
      <c r="A81" s="51"/>
      <c r="B81" s="51"/>
      <c r="C81" s="51"/>
      <c r="D81" s="51"/>
      <c r="E81" s="51"/>
      <c r="F81" s="51"/>
      <c r="G81" s="51"/>
      <c r="H81" s="51"/>
      <c r="I81" s="51"/>
      <c r="J81" s="51"/>
      <c r="K81" s="51"/>
      <c r="L81" s="51"/>
      <c r="M81" s="51"/>
      <c r="N81" s="51"/>
    </row>
    <row r="82" spans="1:14" ht="12.75">
      <c r="A82" s="51"/>
      <c r="B82" s="51"/>
      <c r="C82" s="51"/>
      <c r="D82" s="51"/>
      <c r="E82" s="51"/>
      <c r="F82" s="51"/>
      <c r="G82" s="51"/>
      <c r="H82" s="51"/>
      <c r="I82" s="51"/>
      <c r="J82" s="51"/>
      <c r="K82" s="51"/>
      <c r="L82" s="51"/>
      <c r="M82" s="51"/>
      <c r="N82" s="51"/>
    </row>
    <row r="83" spans="1:14" ht="12.75">
      <c r="A83" s="51"/>
      <c r="B83" s="51"/>
      <c r="C83" s="51"/>
      <c r="D83" s="51"/>
      <c r="E83" s="51"/>
      <c r="F83" s="51"/>
      <c r="G83" s="51"/>
      <c r="H83" s="51"/>
      <c r="I83" s="51"/>
      <c r="J83" s="51"/>
      <c r="K83" s="51"/>
      <c r="L83" s="51"/>
      <c r="M83" s="51"/>
      <c r="N83" s="51"/>
    </row>
    <row r="84" spans="1:14" ht="12.75">
      <c r="A84" s="51"/>
      <c r="B84" s="51"/>
      <c r="C84" s="51"/>
      <c r="D84" s="51"/>
      <c r="E84" s="51"/>
      <c r="F84" s="51"/>
      <c r="G84" s="51"/>
      <c r="H84" s="51"/>
      <c r="I84" s="51"/>
      <c r="J84" s="51"/>
      <c r="K84" s="51"/>
      <c r="L84" s="51"/>
      <c r="M84" s="51"/>
      <c r="N84" s="51"/>
    </row>
    <row r="85" spans="1:14" ht="12.75">
      <c r="A85" s="51"/>
      <c r="B85" s="51"/>
      <c r="C85" s="51"/>
      <c r="D85" s="51"/>
      <c r="E85" s="51"/>
      <c r="F85" s="51"/>
      <c r="G85" s="51"/>
      <c r="H85" s="51"/>
      <c r="I85" s="51"/>
      <c r="J85" s="51"/>
      <c r="K85" s="51"/>
      <c r="L85" s="51"/>
      <c r="M85" s="51"/>
      <c r="N85" s="51"/>
    </row>
    <row r="86" spans="1:14" ht="12.75">
      <c r="A86" s="51"/>
      <c r="B86" s="51"/>
      <c r="C86" s="51"/>
      <c r="D86" s="51"/>
      <c r="E86" s="51"/>
      <c r="F86" s="51"/>
      <c r="G86" s="51"/>
      <c r="H86" s="51"/>
      <c r="I86" s="51"/>
      <c r="J86" s="51"/>
      <c r="K86" s="51"/>
      <c r="L86" s="51"/>
      <c r="M86" s="51"/>
      <c r="N86" s="51"/>
    </row>
    <row r="87" spans="1:14" ht="12.75">
      <c r="A87" s="51"/>
      <c r="B87" s="51"/>
      <c r="C87" s="51"/>
      <c r="D87" s="51"/>
      <c r="E87" s="51"/>
      <c r="F87" s="51"/>
      <c r="G87" s="51"/>
      <c r="H87" s="51"/>
      <c r="I87" s="51"/>
      <c r="J87" s="51"/>
      <c r="K87" s="51"/>
      <c r="L87" s="51"/>
      <c r="M87" s="51"/>
      <c r="N87" s="51"/>
    </row>
    <row r="88" spans="1:14" ht="12.75">
      <c r="A88" s="51"/>
      <c r="B88" s="51"/>
      <c r="C88" s="51"/>
      <c r="D88" s="51"/>
      <c r="E88" s="51"/>
      <c r="F88" s="51"/>
      <c r="G88" s="51"/>
      <c r="H88" s="51"/>
      <c r="I88" s="51"/>
      <c r="J88" s="51"/>
      <c r="K88" s="51"/>
      <c r="L88" s="51"/>
      <c r="M88" s="51"/>
      <c r="N88" s="51"/>
    </row>
    <row r="89" spans="1:14" ht="12.75">
      <c r="A89" s="51"/>
      <c r="B89" s="51"/>
      <c r="C89" s="51"/>
      <c r="D89" s="51"/>
      <c r="E89" s="51"/>
      <c r="F89" s="51"/>
      <c r="G89" s="51"/>
      <c r="H89" s="51"/>
      <c r="I89" s="51"/>
      <c r="J89" s="51"/>
      <c r="K89" s="51"/>
      <c r="L89" s="51"/>
      <c r="M89" s="51"/>
      <c r="N89" s="51"/>
    </row>
    <row r="90" spans="1:14" ht="12.75">
      <c r="A90" s="51"/>
      <c r="B90" s="51"/>
      <c r="C90" s="51"/>
      <c r="D90" s="51"/>
      <c r="E90" s="51"/>
      <c r="F90" s="51"/>
      <c r="G90" s="51"/>
      <c r="H90" s="51"/>
      <c r="I90" s="51"/>
      <c r="J90" s="51"/>
      <c r="K90" s="51"/>
      <c r="L90" s="51"/>
      <c r="M90" s="51"/>
      <c r="N90" s="51"/>
    </row>
    <row r="91" spans="1:14" ht="12.75">
      <c r="A91" s="51"/>
      <c r="B91" s="51"/>
      <c r="C91" s="51"/>
      <c r="D91" s="51"/>
      <c r="E91" s="51"/>
      <c r="F91" s="51"/>
      <c r="G91" s="51"/>
      <c r="H91" s="51"/>
      <c r="I91" s="51"/>
      <c r="J91" s="51"/>
      <c r="K91" s="51"/>
      <c r="L91" s="51"/>
      <c r="M91" s="51"/>
      <c r="N91" s="51"/>
    </row>
    <row r="92" spans="1:14" ht="12.75">
      <c r="A92" s="51"/>
      <c r="B92" s="51"/>
      <c r="C92" s="51"/>
      <c r="D92" s="51"/>
      <c r="E92" s="51"/>
      <c r="F92" s="51"/>
      <c r="G92" s="51"/>
      <c r="H92" s="51"/>
      <c r="I92" s="51"/>
      <c r="J92" s="51"/>
      <c r="K92" s="51"/>
      <c r="L92" s="51"/>
      <c r="M92" s="51"/>
      <c r="N92" s="51"/>
    </row>
    <row r="93" spans="1:14" ht="12.75">
      <c r="A93" s="51"/>
      <c r="B93" s="51"/>
      <c r="C93" s="51"/>
      <c r="D93" s="51"/>
      <c r="E93" s="51"/>
      <c r="F93" s="51"/>
      <c r="G93" s="51"/>
      <c r="H93" s="51"/>
      <c r="I93" s="51"/>
      <c r="J93" s="51"/>
      <c r="K93" s="51"/>
      <c r="L93" s="51"/>
      <c r="M93" s="51"/>
      <c r="N93" s="51"/>
    </row>
    <row r="94" spans="1:14" ht="12.75">
      <c r="A94" s="51"/>
      <c r="B94" s="51"/>
      <c r="C94" s="51"/>
      <c r="D94" s="51"/>
      <c r="E94" s="51"/>
      <c r="F94" s="51"/>
      <c r="G94" s="51"/>
      <c r="H94" s="51"/>
      <c r="I94" s="51"/>
      <c r="J94" s="51"/>
      <c r="K94" s="51"/>
      <c r="L94" s="51"/>
      <c r="M94" s="51"/>
      <c r="N94" s="51"/>
    </row>
    <row r="95" spans="1:14" ht="12.75">
      <c r="A95" s="51"/>
      <c r="B95" s="51"/>
      <c r="C95" s="51"/>
      <c r="D95" s="51"/>
      <c r="E95" s="51"/>
      <c r="F95" s="51"/>
      <c r="G95" s="51"/>
      <c r="H95" s="51"/>
      <c r="I95" s="51"/>
      <c r="J95" s="51"/>
      <c r="K95" s="51"/>
      <c r="L95" s="51"/>
      <c r="M95" s="51"/>
      <c r="N95" s="51"/>
    </row>
    <row r="96" spans="1:14" ht="12.75">
      <c r="A96" s="51"/>
      <c r="B96" s="51"/>
      <c r="C96" s="51"/>
      <c r="D96" s="51"/>
      <c r="E96" s="51"/>
      <c r="F96" s="51"/>
      <c r="G96" s="51"/>
      <c r="H96" s="51"/>
      <c r="I96" s="51"/>
      <c r="J96" s="51"/>
      <c r="K96" s="51"/>
      <c r="L96" s="51"/>
      <c r="M96" s="51"/>
      <c r="N96" s="51"/>
    </row>
    <row r="97" spans="1:14" ht="12.75">
      <c r="A97" s="51"/>
      <c r="B97" s="51"/>
      <c r="C97" s="51"/>
      <c r="D97" s="51"/>
      <c r="E97" s="51"/>
      <c r="F97" s="51"/>
      <c r="G97" s="51"/>
      <c r="H97" s="51"/>
      <c r="I97" s="51"/>
      <c r="J97" s="51"/>
      <c r="K97" s="51"/>
      <c r="L97" s="51"/>
      <c r="M97" s="51"/>
      <c r="N97" s="51"/>
    </row>
    <row r="98" spans="1:14" ht="12.75">
      <c r="A98" s="51"/>
      <c r="B98" s="51"/>
      <c r="C98" s="51"/>
      <c r="D98" s="51"/>
      <c r="E98" s="51"/>
      <c r="F98" s="51"/>
      <c r="G98" s="51"/>
      <c r="H98" s="51"/>
      <c r="I98" s="51"/>
      <c r="J98" s="51"/>
      <c r="K98" s="51"/>
      <c r="L98" s="51"/>
      <c r="M98" s="51"/>
      <c r="N98" s="51"/>
    </row>
    <row r="99" spans="1:14" ht="12.75">
      <c r="A99" s="51"/>
      <c r="B99" s="51"/>
      <c r="C99" s="51"/>
      <c r="D99" s="51"/>
      <c r="E99" s="51"/>
      <c r="F99" s="51"/>
      <c r="G99" s="51"/>
      <c r="H99" s="51"/>
      <c r="I99" s="51"/>
      <c r="J99" s="51"/>
      <c r="K99" s="51"/>
      <c r="L99" s="51"/>
      <c r="M99" s="51"/>
      <c r="N99" s="51"/>
    </row>
    <row r="100" spans="1:14" ht="12.75">
      <c r="A100" s="51"/>
      <c r="B100" s="51"/>
      <c r="C100" s="51"/>
      <c r="D100" s="51"/>
      <c r="E100" s="51"/>
      <c r="F100" s="51"/>
      <c r="G100" s="51"/>
      <c r="H100" s="51"/>
      <c r="I100" s="51"/>
      <c r="J100" s="51"/>
      <c r="K100" s="51"/>
      <c r="L100" s="51"/>
      <c r="M100" s="51"/>
      <c r="N100" s="51"/>
    </row>
    <row r="101" spans="1:14" ht="12.75">
      <c r="A101" s="51"/>
      <c r="B101" s="51"/>
      <c r="C101" s="51"/>
      <c r="D101" s="51"/>
      <c r="E101" s="51"/>
      <c r="F101" s="51"/>
      <c r="G101" s="51"/>
      <c r="H101" s="51"/>
      <c r="I101" s="51"/>
      <c r="J101" s="51"/>
      <c r="K101" s="51"/>
      <c r="L101" s="51"/>
      <c r="M101" s="51"/>
      <c r="N101" s="51"/>
    </row>
    <row r="102" spans="1:14" ht="12.75">
      <c r="A102" s="51"/>
      <c r="B102" s="51"/>
      <c r="C102" s="51"/>
      <c r="D102" s="51"/>
      <c r="E102" s="51"/>
      <c r="F102" s="51"/>
      <c r="G102" s="51"/>
      <c r="H102" s="51"/>
      <c r="I102" s="51"/>
      <c r="J102" s="51"/>
      <c r="K102" s="51"/>
      <c r="L102" s="51"/>
      <c r="M102" s="51"/>
      <c r="N102" s="51"/>
    </row>
    <row r="103" spans="1:14" ht="12.75">
      <c r="A103" s="51"/>
      <c r="B103" s="51"/>
      <c r="C103" s="51"/>
      <c r="D103" s="51"/>
      <c r="E103" s="51"/>
      <c r="F103" s="51"/>
      <c r="G103" s="51"/>
      <c r="H103" s="51"/>
      <c r="I103" s="51"/>
      <c r="J103" s="51"/>
      <c r="K103" s="51"/>
      <c r="L103" s="51"/>
      <c r="M103" s="51"/>
      <c r="N103" s="51"/>
    </row>
    <row r="104" spans="1:14" ht="12.75">
      <c r="A104" s="51"/>
      <c r="B104" s="51"/>
      <c r="C104" s="51"/>
      <c r="D104" s="51"/>
      <c r="E104" s="51"/>
      <c r="F104" s="51"/>
      <c r="G104" s="51"/>
      <c r="H104" s="51"/>
      <c r="I104" s="51"/>
      <c r="J104" s="51"/>
      <c r="K104" s="51"/>
      <c r="L104" s="51"/>
      <c r="M104" s="51"/>
      <c r="N104" s="51"/>
    </row>
    <row r="105" spans="1:14" ht="12.75">
      <c r="A105" s="51"/>
      <c r="B105" s="51"/>
      <c r="C105" s="51"/>
      <c r="D105" s="51"/>
      <c r="E105" s="51"/>
      <c r="F105" s="51"/>
      <c r="G105" s="51"/>
      <c r="H105" s="51"/>
      <c r="I105" s="51"/>
      <c r="J105" s="51"/>
      <c r="K105" s="51"/>
      <c r="L105" s="51"/>
      <c r="M105" s="51"/>
      <c r="N105" s="51"/>
    </row>
    <row r="106" spans="1:14" ht="12.75">
      <c r="A106" s="51"/>
      <c r="B106" s="51"/>
      <c r="C106" s="51"/>
      <c r="D106" s="51"/>
      <c r="E106" s="51"/>
      <c r="F106" s="51"/>
      <c r="G106" s="51"/>
      <c r="H106" s="51"/>
      <c r="I106" s="51"/>
      <c r="J106" s="51"/>
      <c r="K106" s="51"/>
      <c r="L106" s="51"/>
      <c r="M106" s="51"/>
      <c r="N106" s="51"/>
    </row>
    <row r="107" spans="1:14" ht="12.75">
      <c r="A107" s="51"/>
      <c r="B107" s="51"/>
      <c r="C107" s="51"/>
      <c r="D107" s="51"/>
      <c r="E107" s="51"/>
      <c r="F107" s="51"/>
      <c r="G107" s="51"/>
      <c r="H107" s="51"/>
      <c r="I107" s="51"/>
      <c r="J107" s="51"/>
      <c r="K107" s="51"/>
      <c r="L107" s="51"/>
      <c r="M107" s="51"/>
      <c r="N107" s="51"/>
    </row>
    <row r="108" spans="1:14" ht="12.75">
      <c r="A108" s="51"/>
      <c r="B108" s="51"/>
      <c r="C108" s="51"/>
      <c r="D108" s="51"/>
      <c r="E108" s="51"/>
      <c r="F108" s="51"/>
      <c r="G108" s="51"/>
      <c r="H108" s="51"/>
      <c r="I108" s="51"/>
      <c r="J108" s="51"/>
      <c r="K108" s="51"/>
      <c r="L108" s="51"/>
      <c r="M108" s="51"/>
      <c r="N108" s="51"/>
    </row>
    <row r="109" spans="1:14" ht="12.75">
      <c r="A109" s="51"/>
      <c r="B109" s="51"/>
      <c r="C109" s="51"/>
      <c r="D109" s="51"/>
      <c r="E109" s="51"/>
      <c r="F109" s="51"/>
      <c r="G109" s="51"/>
      <c r="H109" s="51"/>
      <c r="I109" s="51"/>
      <c r="J109" s="51"/>
      <c r="K109" s="51"/>
      <c r="L109" s="51"/>
      <c r="M109" s="51"/>
      <c r="N109" s="51"/>
    </row>
    <row r="110" spans="1:14" ht="12.75">
      <c r="A110" s="51"/>
      <c r="B110" s="51"/>
      <c r="C110" s="51"/>
      <c r="D110" s="51"/>
      <c r="E110" s="51"/>
      <c r="F110" s="51"/>
      <c r="G110" s="51"/>
      <c r="H110" s="51"/>
      <c r="I110" s="51"/>
      <c r="J110" s="51"/>
      <c r="K110" s="51"/>
      <c r="L110" s="51"/>
      <c r="M110" s="51"/>
      <c r="N110" s="51"/>
    </row>
    <row r="111" spans="1:14" ht="12.75">
      <c r="A111" s="51"/>
      <c r="B111" s="51"/>
      <c r="C111" s="51"/>
      <c r="D111" s="51"/>
      <c r="E111" s="51"/>
      <c r="F111" s="51"/>
      <c r="G111" s="51"/>
      <c r="H111" s="51"/>
      <c r="I111" s="51"/>
      <c r="J111" s="51"/>
      <c r="K111" s="51"/>
      <c r="L111" s="51"/>
      <c r="M111" s="51"/>
      <c r="N111" s="51"/>
    </row>
    <row r="112" spans="1:14" ht="12.75">
      <c r="A112" s="51"/>
      <c r="B112" s="51"/>
      <c r="C112" s="51"/>
      <c r="D112" s="51"/>
      <c r="E112" s="51"/>
      <c r="F112" s="51"/>
      <c r="G112" s="51"/>
      <c r="H112" s="51"/>
      <c r="I112" s="51"/>
      <c r="J112" s="51"/>
      <c r="K112" s="51"/>
      <c r="L112" s="51"/>
      <c r="M112" s="51"/>
      <c r="N112" s="51"/>
    </row>
    <row r="113" spans="1:14" ht="12.75">
      <c r="A113" s="51"/>
      <c r="B113" s="51"/>
      <c r="C113" s="51"/>
      <c r="D113" s="51"/>
      <c r="E113" s="51"/>
      <c r="F113" s="51"/>
      <c r="G113" s="51"/>
      <c r="H113" s="51"/>
      <c r="I113" s="51"/>
      <c r="J113" s="51"/>
      <c r="K113" s="51"/>
      <c r="L113" s="51"/>
      <c r="M113" s="51"/>
      <c r="N113" s="51"/>
    </row>
    <row r="114" spans="1:14" ht="12.75">
      <c r="A114" s="51"/>
      <c r="B114" s="51"/>
      <c r="C114" s="51"/>
      <c r="D114" s="51"/>
      <c r="E114" s="51"/>
      <c r="F114" s="51"/>
      <c r="G114" s="51"/>
      <c r="H114" s="51"/>
      <c r="I114" s="51"/>
      <c r="J114" s="51"/>
      <c r="K114" s="51"/>
      <c r="L114" s="51"/>
      <c r="M114" s="51"/>
      <c r="N114" s="51"/>
    </row>
    <row r="115" spans="1:14" ht="12.75">
      <c r="A115" s="51"/>
      <c r="B115" s="51"/>
      <c r="C115" s="51"/>
      <c r="D115" s="51"/>
      <c r="E115" s="51"/>
      <c r="F115" s="51"/>
      <c r="G115" s="51"/>
      <c r="H115" s="51"/>
      <c r="I115" s="51"/>
      <c r="J115" s="51"/>
      <c r="K115" s="51"/>
      <c r="L115" s="51"/>
      <c r="M115" s="51"/>
      <c r="N115" s="51"/>
    </row>
    <row r="116" spans="1:14" ht="12.75">
      <c r="A116" s="51"/>
      <c r="B116" s="51"/>
      <c r="C116" s="51"/>
      <c r="D116" s="51"/>
      <c r="E116" s="51"/>
      <c r="F116" s="51"/>
      <c r="G116" s="51"/>
      <c r="H116" s="51"/>
      <c r="I116" s="51"/>
      <c r="J116" s="51"/>
      <c r="K116" s="51"/>
      <c r="L116" s="51"/>
      <c r="M116" s="51"/>
      <c r="N116" s="51"/>
    </row>
    <row r="117" spans="1:14" ht="12.75">
      <c r="A117" s="51"/>
      <c r="B117" s="51"/>
      <c r="C117" s="51"/>
      <c r="D117" s="51"/>
      <c r="E117" s="51"/>
      <c r="F117" s="51"/>
      <c r="G117" s="51"/>
      <c r="H117" s="51"/>
      <c r="I117" s="51"/>
      <c r="J117" s="51"/>
      <c r="K117" s="51"/>
      <c r="L117" s="51"/>
      <c r="M117" s="51"/>
      <c r="N117" s="51"/>
    </row>
    <row r="118" spans="1:14" ht="12.75">
      <c r="A118" s="51"/>
      <c r="B118" s="51"/>
      <c r="C118" s="51"/>
      <c r="D118" s="51"/>
      <c r="E118" s="51"/>
      <c r="F118" s="51"/>
      <c r="G118" s="51"/>
      <c r="H118" s="51"/>
      <c r="I118" s="51"/>
      <c r="J118" s="51"/>
      <c r="K118" s="51"/>
      <c r="L118" s="51"/>
      <c r="M118" s="51"/>
      <c r="N118" s="51"/>
    </row>
  </sheetData>
  <sheetProtection/>
  <printOptions/>
  <pageMargins left="0.5" right="0.5" top="0.75" bottom="0.75" header="0.5" footer="0.5"/>
  <pageSetup horizontalDpi="600" verticalDpi="600" orientation="landscape" scale="90" r:id="rId1"/>
</worksheet>
</file>

<file path=xl/worksheets/sheet4.xml><?xml version="1.0" encoding="utf-8"?>
<worksheet xmlns="http://schemas.openxmlformats.org/spreadsheetml/2006/main" xmlns:r="http://schemas.openxmlformats.org/officeDocument/2006/relationships">
  <dimension ref="A1:N118"/>
  <sheetViews>
    <sheetView showGridLines="0" zoomScalePageLayoutView="0" workbookViewId="0" topLeftCell="A1">
      <selection activeCell="C12" sqref="C12"/>
    </sheetView>
  </sheetViews>
  <sheetFormatPr defaultColWidth="9.140625" defaultRowHeight="12.75"/>
  <cols>
    <col min="2" max="2" width="2.28125" style="120" bestFit="1" customWidth="1"/>
    <col min="3" max="12" width="11.7109375" style="0" customWidth="1"/>
  </cols>
  <sheetData>
    <row r="1" spans="1:2" ht="12.75">
      <c r="A1" s="42" t="str">
        <f>"Commodity Pricing ("&amp;TEXT(A4,"mmmm yyyy")&amp;" through "&amp;TEXT(A15,"mmmm yyyy")&amp;")"</f>
        <v>Commodity Pricing (May 2014 through April 2015)</v>
      </c>
      <c r="B1" s="117"/>
    </row>
    <row r="2" spans="1:2" ht="12.75">
      <c r="A2" s="44" t="s">
        <v>62</v>
      </c>
      <c r="B2" s="118"/>
    </row>
    <row r="3" spans="2:13" ht="12.75">
      <c r="B3" s="119"/>
      <c r="C3" s="46" t="s">
        <v>15</v>
      </c>
      <c r="D3" s="46" t="s">
        <v>16</v>
      </c>
      <c r="E3" s="46" t="s">
        <v>27</v>
      </c>
      <c r="F3" s="46" t="s">
        <v>17</v>
      </c>
      <c r="G3" s="46" t="s">
        <v>18</v>
      </c>
      <c r="H3" s="46" t="s">
        <v>19</v>
      </c>
      <c r="I3" s="46" t="s">
        <v>20</v>
      </c>
      <c r="J3" s="46" t="s">
        <v>21</v>
      </c>
      <c r="K3" s="46" t="s">
        <v>22</v>
      </c>
      <c r="L3" s="46" t="s">
        <v>23</v>
      </c>
      <c r="M3" s="46"/>
    </row>
    <row r="4" spans="1:13" ht="15.75" customHeight="1">
      <c r="A4" s="115">
        <f>Multi_Family!$C$6</f>
        <v>41760</v>
      </c>
      <c r="B4" s="119" t="s">
        <v>49</v>
      </c>
      <c r="C4" s="130">
        <f>Multi_Family!C74</f>
        <v>1078.01</v>
      </c>
      <c r="D4" s="130">
        <f>Multi_Family!C76</f>
        <v>-15.18</v>
      </c>
      <c r="E4" s="130">
        <f>Multi_Family!C77</f>
        <v>-120.17</v>
      </c>
      <c r="F4" s="130">
        <f>Multi_Family!C72</f>
        <v>80.19</v>
      </c>
      <c r="G4" s="130">
        <f>Multi_Family!C69</f>
        <v>75.1</v>
      </c>
      <c r="H4" s="130">
        <f>Multi_Family!C79</f>
        <v>70.07</v>
      </c>
      <c r="I4" s="130">
        <f>Multi_Family!C73</f>
        <v>189.09</v>
      </c>
      <c r="J4" s="130">
        <f>Multi_Family!C73</f>
        <v>189.09</v>
      </c>
      <c r="K4" s="130">
        <f>Multi_Family!C70</f>
        <v>99.54</v>
      </c>
      <c r="L4" s="130">
        <f>Multi_Family!C78</f>
        <v>-120.17</v>
      </c>
      <c r="M4" s="55"/>
    </row>
    <row r="5" spans="1:13" ht="15.75" customHeight="1">
      <c r="A5" s="50">
        <f aca="true" t="shared" si="0" ref="A5:A15">EOMONTH(A4,1)</f>
        <v>41820</v>
      </c>
      <c r="B5" s="119" t="s">
        <v>50</v>
      </c>
      <c r="C5" s="130">
        <f>Multi_Family!D74</f>
        <v>1048.72</v>
      </c>
      <c r="D5" s="130">
        <f>Multi_Family!D76</f>
        <v>-6.98</v>
      </c>
      <c r="E5" s="130">
        <f>Multi_Family!D77</f>
        <v>-120.17</v>
      </c>
      <c r="F5" s="130">
        <f>Multi_Family!D72</f>
        <v>74.19</v>
      </c>
      <c r="G5" s="130">
        <f>Multi_Family!D69</f>
        <v>73.84</v>
      </c>
      <c r="H5" s="130">
        <f>Multi_Family!D79</f>
        <v>68.36</v>
      </c>
      <c r="I5" s="130">
        <f>Multi_Family!D73</f>
        <v>190.61</v>
      </c>
      <c r="J5" s="130">
        <f>Multi_Family!D73</f>
        <v>190.61</v>
      </c>
      <c r="K5" s="130">
        <f>Multi_Family!D70</f>
        <v>95.65</v>
      </c>
      <c r="L5" s="130">
        <f>Multi_Family!D78</f>
        <v>-120.17</v>
      </c>
      <c r="M5" s="55"/>
    </row>
    <row r="6" spans="1:13" ht="15.75" customHeight="1">
      <c r="A6" s="50">
        <f t="shared" si="0"/>
        <v>41851</v>
      </c>
      <c r="B6" s="120" t="s">
        <v>51</v>
      </c>
      <c r="C6" s="130">
        <f>Multi_Family!E74</f>
        <v>1082.54</v>
      </c>
      <c r="D6" s="130">
        <f>Multi_Family!E76</f>
        <v>-7.6</v>
      </c>
      <c r="E6" s="130">
        <f>Multi_Family!E77</f>
        <v>-120.17</v>
      </c>
      <c r="F6" s="130">
        <f>Multi_Family!E72</f>
        <v>73.75</v>
      </c>
      <c r="G6" s="130">
        <f>Multi_Family!E69</f>
        <v>74.45</v>
      </c>
      <c r="H6" s="130">
        <f>Multi_Family!E79</f>
        <v>68.42</v>
      </c>
      <c r="I6" s="130">
        <f>Multi_Family!E73</f>
        <v>213.81</v>
      </c>
      <c r="J6" s="130">
        <f>Multi_Family!E73</f>
        <v>213.81</v>
      </c>
      <c r="K6" s="130">
        <f>Multi_Family!E70</f>
        <v>101.64</v>
      </c>
      <c r="L6" s="130">
        <f>Multi_Family!E78</f>
        <v>-120.17</v>
      </c>
      <c r="M6" s="52"/>
    </row>
    <row r="7" spans="1:13" ht="15.75" customHeight="1">
      <c r="A7" s="50">
        <f t="shared" si="0"/>
        <v>41882</v>
      </c>
      <c r="B7" s="120" t="s">
        <v>52</v>
      </c>
      <c r="C7" s="130">
        <f>Multi_Family!F74</f>
        <v>1138.19</v>
      </c>
      <c r="D7" s="130">
        <f>Multi_Family!F76</f>
        <v>-8.71</v>
      </c>
      <c r="E7" s="130">
        <f>Multi_Family!F77</f>
        <v>-120.17</v>
      </c>
      <c r="F7" s="130">
        <f>Multi_Family!F72</f>
        <v>73.26</v>
      </c>
      <c r="G7" s="130">
        <f>Multi_Family!F69</f>
        <v>73.7</v>
      </c>
      <c r="H7" s="130">
        <f>Multi_Family!F79</f>
        <v>68.02</v>
      </c>
      <c r="I7" s="130">
        <f>Multi_Family!F73</f>
        <v>216.37</v>
      </c>
      <c r="J7" s="130">
        <f>Multi_Family!F73</f>
        <v>216.37</v>
      </c>
      <c r="K7" s="130">
        <f>Multi_Family!F70</f>
        <v>98.99</v>
      </c>
      <c r="L7" s="130">
        <f>Multi_Family!F78</f>
        <v>-120.17</v>
      </c>
      <c r="M7" s="52"/>
    </row>
    <row r="8" spans="1:13" ht="15.75" customHeight="1">
      <c r="A8" s="50">
        <f t="shared" si="0"/>
        <v>41912</v>
      </c>
      <c r="B8" s="120" t="s">
        <v>53</v>
      </c>
      <c r="C8" s="131">
        <f>Multi_Family!G74</f>
        <v>1150.8559999999998</v>
      </c>
      <c r="D8" s="131">
        <f>Multi_Family!G76</f>
        <v>2.6</v>
      </c>
      <c r="E8" s="131">
        <f>Multi_Family!G77</f>
        <v>-120.17</v>
      </c>
      <c r="F8" s="131">
        <f>Multi_Family!G72</f>
        <v>76.70599999999999</v>
      </c>
      <c r="G8" s="131">
        <f>Multi_Family!G69</f>
        <v>67.00399999999999</v>
      </c>
      <c r="H8" s="131">
        <f>Multi_Family!G79</f>
        <v>62.811</v>
      </c>
      <c r="I8" s="131">
        <f>Multi_Family!G73</f>
        <v>238.16799999999998</v>
      </c>
      <c r="J8" s="131">
        <f>Multi_Family!G73</f>
        <v>238.16799999999998</v>
      </c>
      <c r="K8" s="131">
        <f>Multi_Family!G70</f>
        <v>91.476</v>
      </c>
      <c r="L8" s="130">
        <f>Multi_Family!G78</f>
        <v>-120.17</v>
      </c>
      <c r="M8" s="52"/>
    </row>
    <row r="9" spans="1:13" ht="15.75" customHeight="1">
      <c r="A9" s="50">
        <f t="shared" si="0"/>
        <v>41943</v>
      </c>
      <c r="B9" s="120" t="s">
        <v>54</v>
      </c>
      <c r="C9" s="131">
        <f>Multi_Family!H74</f>
        <v>1124.487</v>
      </c>
      <c r="D9" s="131">
        <f>Multi_Family!H76</f>
        <v>0.9939999999999999</v>
      </c>
      <c r="E9" s="131">
        <f>Multi_Family!H77</f>
        <v>-120.17</v>
      </c>
      <c r="F9" s="131">
        <f>Multi_Family!H72</f>
        <v>61.949999999999996</v>
      </c>
      <c r="G9" s="131">
        <f>Multi_Family!H69</f>
        <v>68.453</v>
      </c>
      <c r="H9" s="131">
        <f>Multi_Family!H79</f>
        <v>60.71799999999999</v>
      </c>
      <c r="I9" s="131">
        <f>Multi_Family!H73</f>
        <v>230.12499999999997</v>
      </c>
      <c r="J9" s="131">
        <f>Multi_Family!H73</f>
        <v>230.12499999999997</v>
      </c>
      <c r="K9" s="131">
        <f>Multi_Family!H70</f>
        <v>95.333</v>
      </c>
      <c r="L9" s="130">
        <f>Multi_Family!H78</f>
        <v>-120.17</v>
      </c>
      <c r="M9" s="52"/>
    </row>
    <row r="10" spans="1:13" ht="15.75" customHeight="1">
      <c r="A10" s="50">
        <f t="shared" si="0"/>
        <v>41973</v>
      </c>
      <c r="B10" s="120" t="s">
        <v>55</v>
      </c>
      <c r="C10" s="130">
        <f>Multi_Family!I74</f>
        <v>1232</v>
      </c>
      <c r="D10" s="130">
        <f>Multi_Family!I76</f>
        <v>-2.9539999999999997</v>
      </c>
      <c r="E10" s="130">
        <f>Multi_Family!I77</f>
        <v>-120.17</v>
      </c>
      <c r="F10" s="130">
        <f>Multi_Family!I72</f>
        <v>52.857</v>
      </c>
      <c r="G10" s="130">
        <f>Multi_Family!I69</f>
        <v>63.75599999999999</v>
      </c>
      <c r="H10" s="130">
        <f>Multi_Family!I79</f>
        <v>56.370999999999995</v>
      </c>
      <c r="I10" s="130">
        <f>Multi_Family!I73</f>
        <v>209.377</v>
      </c>
      <c r="J10" s="130">
        <f>Multi_Family!I73</f>
        <v>209.377</v>
      </c>
      <c r="K10" s="130">
        <f>Multi_Family!I70</f>
        <v>93.1</v>
      </c>
      <c r="L10" s="130">
        <f>Multi_Family!I78</f>
        <v>-120.17</v>
      </c>
      <c r="M10" s="52"/>
    </row>
    <row r="11" spans="1:13" ht="15.75" customHeight="1">
      <c r="A11" s="50">
        <f t="shared" si="0"/>
        <v>42004</v>
      </c>
      <c r="B11" s="120" t="s">
        <v>56</v>
      </c>
      <c r="C11" s="130">
        <f>Multi_Family!J74</f>
        <v>1190</v>
      </c>
      <c r="D11" s="130">
        <f>Multi_Family!J76</f>
        <v>-4.7669999999999995</v>
      </c>
      <c r="E11" s="130">
        <f>Multi_Family!J77</f>
        <v>-120.17</v>
      </c>
      <c r="F11" s="130">
        <f>Multi_Family!J72</f>
        <v>53.297999999999995</v>
      </c>
      <c r="G11" s="130">
        <f>Multi_Family!J69</f>
        <v>60.78099999999999</v>
      </c>
      <c r="H11" s="130">
        <f>Multi_Family!J79</f>
        <v>53.717999999999996</v>
      </c>
      <c r="I11" s="130">
        <f>Multi_Family!J73</f>
        <v>171.57</v>
      </c>
      <c r="J11" s="130">
        <f>Multi_Family!J73</f>
        <v>171.57</v>
      </c>
      <c r="K11" s="130">
        <f>Multi_Family!J70</f>
        <v>88.648</v>
      </c>
      <c r="L11" s="130">
        <f>Multi_Family!J78</f>
        <v>-120.17</v>
      </c>
      <c r="M11" s="52"/>
    </row>
    <row r="12" spans="1:13" ht="15.75" customHeight="1">
      <c r="A12" s="50">
        <f t="shared" si="0"/>
        <v>42035</v>
      </c>
      <c r="B12" s="120" t="s">
        <v>57</v>
      </c>
      <c r="C12" s="130">
        <f>Multi_Family!K74</f>
        <v>1106</v>
      </c>
      <c r="D12" s="130">
        <f>Multi_Family!K76</f>
        <v>-3.9339999999999997</v>
      </c>
      <c r="E12" s="130">
        <f>Multi_Family!K77</f>
        <v>-120.17</v>
      </c>
      <c r="F12" s="130">
        <f>Multi_Family!K72</f>
        <v>53.025</v>
      </c>
      <c r="G12" s="130">
        <f>Multi_Family!K69</f>
        <v>59.101</v>
      </c>
      <c r="H12" s="130">
        <f>Multi_Family!K79</f>
        <v>53.25599999999999</v>
      </c>
      <c r="I12" s="130">
        <f>Multi_Family!K73</f>
        <v>130.49399999999997</v>
      </c>
      <c r="J12" s="130">
        <f>Multi_Family!K73</f>
        <v>130.49399999999997</v>
      </c>
      <c r="K12" s="130">
        <f>Multi_Family!K70</f>
        <v>85.645</v>
      </c>
      <c r="L12" s="130">
        <f>Multi_Family!K78</f>
        <v>-120.17</v>
      </c>
      <c r="M12" s="52"/>
    </row>
    <row r="13" spans="1:13" ht="15.75" customHeight="1">
      <c r="A13" s="50">
        <f t="shared" si="0"/>
        <v>42063</v>
      </c>
      <c r="B13" s="120" t="s">
        <v>58</v>
      </c>
      <c r="C13" s="130">
        <f>Multi_Family!L74</f>
        <v>1095.4089999999999</v>
      </c>
      <c r="D13" s="130">
        <f>Multi_Family!L76</f>
        <v>-9.113999999999999</v>
      </c>
      <c r="E13" s="130">
        <f>Multi_Family!L77</f>
        <v>-120.17</v>
      </c>
      <c r="F13" s="130">
        <f>Multi_Family!L72</f>
        <v>39.095</v>
      </c>
      <c r="G13" s="130">
        <f>Multi_Family!L69</f>
        <v>58.51999999999999</v>
      </c>
      <c r="H13" s="130">
        <f>Multi_Family!L79</f>
        <v>51.967999999999996</v>
      </c>
      <c r="I13" s="130">
        <f>Multi_Family!L73</f>
        <v>104.237</v>
      </c>
      <c r="J13" s="130">
        <f>Multi_Family!L73</f>
        <v>104.237</v>
      </c>
      <c r="K13" s="130">
        <f>Multi_Family!L70</f>
        <v>73.444</v>
      </c>
      <c r="L13" s="130">
        <f>Multi_Family!L78</f>
        <v>-120.17</v>
      </c>
      <c r="M13" s="52"/>
    </row>
    <row r="14" spans="1:13" ht="15.75" customHeight="1">
      <c r="A14" s="50">
        <f t="shared" si="0"/>
        <v>42094</v>
      </c>
      <c r="B14" s="120" t="s">
        <v>59</v>
      </c>
      <c r="C14" s="130">
        <f>Multi_Family!M74</f>
        <v>1041.194</v>
      </c>
      <c r="D14" s="130">
        <f>Multi_Family!M76</f>
        <v>-5.194</v>
      </c>
      <c r="E14" s="130">
        <f>Multi_Family!M77</f>
        <v>-120.17</v>
      </c>
      <c r="F14" s="130">
        <f>Multi_Family!M72</f>
        <v>39.753</v>
      </c>
      <c r="G14" s="130">
        <f>Multi_Family!M69</f>
        <v>59.919999999999995</v>
      </c>
      <c r="H14" s="130">
        <f>Multi_Family!M79</f>
        <v>56.06999999999999</v>
      </c>
      <c r="I14" s="130">
        <f>Multi_Family!M73</f>
        <v>119.26599999999999</v>
      </c>
      <c r="J14" s="130">
        <f>Multi_Family!M73</f>
        <v>119.26599999999999</v>
      </c>
      <c r="K14" s="130">
        <f>Multi_Family!M70</f>
        <v>71.743</v>
      </c>
      <c r="L14" s="130">
        <f>Multi_Family!M78</f>
        <v>-120.17</v>
      </c>
      <c r="M14" s="52"/>
    </row>
    <row r="15" spans="1:13" ht="15.75" customHeight="1">
      <c r="A15" s="50">
        <f t="shared" si="0"/>
        <v>42124</v>
      </c>
      <c r="B15" s="120" t="s">
        <v>60</v>
      </c>
      <c r="C15" s="130">
        <f>Multi_Family!N74</f>
        <v>970.333</v>
      </c>
      <c r="D15" s="130">
        <f>Multi_Family!N76</f>
        <v>-13.93</v>
      </c>
      <c r="E15" s="130">
        <f>Multi_Family!N77</f>
        <v>-120.17</v>
      </c>
      <c r="F15" s="130">
        <f>Multi_Family!N72</f>
        <v>39.269999999999996</v>
      </c>
      <c r="G15" s="130">
        <f>Multi_Family!N69</f>
        <v>61.285</v>
      </c>
      <c r="H15" s="130">
        <f>Multi_Family!N79</f>
        <v>56.06999999999999</v>
      </c>
      <c r="I15" s="130">
        <f>Multi_Family!N73</f>
        <v>143.15699999999998</v>
      </c>
      <c r="J15" s="130">
        <f>Multi_Family!N73</f>
        <v>143.15699999999998</v>
      </c>
      <c r="K15" s="130">
        <f>Multi_Family!N70</f>
        <v>80.04499999999999</v>
      </c>
      <c r="L15" s="130">
        <f>Multi_Family!N78</f>
        <v>-120.17</v>
      </c>
      <c r="M15" s="52"/>
    </row>
    <row r="16" spans="1:13" ht="12.75">
      <c r="A16" s="51"/>
      <c r="C16" s="52"/>
      <c r="D16" s="52"/>
      <c r="E16" s="52"/>
      <c r="F16" s="52"/>
      <c r="G16" s="52"/>
      <c r="H16" s="52"/>
      <c r="I16" s="52"/>
      <c r="J16" s="52"/>
      <c r="K16" s="52"/>
      <c r="L16" s="51"/>
      <c r="M16" s="52"/>
    </row>
    <row r="17" spans="1:14" ht="12.75">
      <c r="A17" s="54"/>
      <c r="C17" s="52"/>
      <c r="D17" s="52"/>
      <c r="E17" s="52"/>
      <c r="F17" s="52"/>
      <c r="G17" s="52"/>
      <c r="H17" s="52"/>
      <c r="I17" s="52"/>
      <c r="J17" s="52"/>
      <c r="K17" s="52"/>
      <c r="L17" s="52"/>
      <c r="M17" s="52"/>
      <c r="N17" s="52" t="s">
        <v>25</v>
      </c>
    </row>
    <row r="18" spans="1:13" ht="12.75">
      <c r="A18" s="51"/>
      <c r="C18" s="51"/>
      <c r="D18" s="51"/>
      <c r="E18" s="51"/>
      <c r="F18" s="51"/>
      <c r="G18" s="51"/>
      <c r="H18" s="51"/>
      <c r="I18" s="51"/>
      <c r="J18" s="51"/>
      <c r="K18" s="51"/>
      <c r="L18" s="51"/>
      <c r="M18" s="52"/>
    </row>
    <row r="19" spans="1:13" ht="12.75">
      <c r="A19" s="51"/>
      <c r="C19" s="51"/>
      <c r="D19" s="51"/>
      <c r="E19" s="51"/>
      <c r="F19" s="51"/>
      <c r="G19" s="51"/>
      <c r="H19" s="51"/>
      <c r="I19" s="51"/>
      <c r="J19" s="51"/>
      <c r="K19" s="51"/>
      <c r="L19" s="51"/>
      <c r="M19" s="52"/>
    </row>
    <row r="20" spans="1:13" ht="12.75">
      <c r="A20" s="51"/>
      <c r="C20" s="51"/>
      <c r="D20" s="51"/>
      <c r="F20" s="51"/>
      <c r="G20" s="51"/>
      <c r="H20" s="51"/>
      <c r="I20" s="51"/>
      <c r="J20" s="51"/>
      <c r="K20" s="51"/>
      <c r="L20" s="51"/>
      <c r="M20" s="52"/>
    </row>
    <row r="21" spans="1:13" ht="12.75">
      <c r="A21" s="51"/>
      <c r="C21" s="51"/>
      <c r="D21" s="51"/>
      <c r="F21" s="51"/>
      <c r="G21" s="51"/>
      <c r="H21" s="51"/>
      <c r="I21" s="51"/>
      <c r="J21" s="51"/>
      <c r="K21" s="51"/>
      <c r="L21" s="51"/>
      <c r="M21" s="52"/>
    </row>
    <row r="22" spans="1:13" ht="12.75">
      <c r="A22" s="51"/>
      <c r="C22" s="51"/>
      <c r="D22" s="51"/>
      <c r="G22" s="51"/>
      <c r="H22" s="51"/>
      <c r="I22" s="51"/>
      <c r="J22" s="51"/>
      <c r="K22" s="51"/>
      <c r="L22" s="51"/>
      <c r="M22" s="52"/>
    </row>
    <row r="23" spans="1:13" ht="12.75">
      <c r="A23" s="51"/>
      <c r="C23" s="51"/>
      <c r="D23" s="51"/>
      <c r="F23" s="51"/>
      <c r="G23" s="51"/>
      <c r="H23" s="51"/>
      <c r="I23" s="51"/>
      <c r="J23" s="51"/>
      <c r="K23" s="51"/>
      <c r="L23" s="51"/>
      <c r="M23" s="52"/>
    </row>
    <row r="24" spans="1:13" ht="12.75">
      <c r="A24" s="51"/>
      <c r="C24" s="51"/>
      <c r="D24" s="51"/>
      <c r="F24" s="51"/>
      <c r="G24" s="51"/>
      <c r="H24" s="51"/>
      <c r="I24" s="51"/>
      <c r="J24" s="51"/>
      <c r="K24" s="51"/>
      <c r="L24" s="51"/>
      <c r="M24" s="52"/>
    </row>
    <row r="25" spans="1:13" ht="12.75">
      <c r="A25" s="51"/>
      <c r="C25" s="51"/>
      <c r="D25" s="51"/>
      <c r="F25" s="51"/>
      <c r="G25" s="51"/>
      <c r="H25" s="51"/>
      <c r="I25" s="51"/>
      <c r="J25" s="51"/>
      <c r="K25" s="51"/>
      <c r="L25" s="51"/>
      <c r="M25" s="52"/>
    </row>
    <row r="26" spans="1:13" ht="12.75">
      <c r="A26" s="51"/>
      <c r="C26" s="51"/>
      <c r="D26" s="51"/>
      <c r="F26" s="51"/>
      <c r="G26" s="51"/>
      <c r="H26" s="51"/>
      <c r="I26" s="51"/>
      <c r="J26" s="51"/>
      <c r="K26" s="51"/>
      <c r="L26" s="51"/>
      <c r="M26" s="52"/>
    </row>
    <row r="27" spans="1:13" ht="12.75">
      <c r="A27" s="51"/>
      <c r="C27" s="51"/>
      <c r="D27" s="51"/>
      <c r="F27" s="51"/>
      <c r="G27" s="51"/>
      <c r="H27" s="51"/>
      <c r="I27" s="51"/>
      <c r="J27" s="51"/>
      <c r="K27" s="51"/>
      <c r="L27" s="51"/>
      <c r="M27" s="52"/>
    </row>
    <row r="28" spans="1:13" ht="12.75">
      <c r="A28" s="51"/>
      <c r="C28" s="51"/>
      <c r="D28" s="51"/>
      <c r="F28" s="51"/>
      <c r="G28" s="51"/>
      <c r="H28" s="51"/>
      <c r="I28" s="51"/>
      <c r="J28" s="51"/>
      <c r="K28" s="51"/>
      <c r="L28" s="51"/>
      <c r="M28" s="51"/>
    </row>
    <row r="29" spans="1:13" ht="12.75">
      <c r="A29" s="51"/>
      <c r="C29" s="51"/>
      <c r="D29" s="51"/>
      <c r="F29" s="51"/>
      <c r="G29" s="51"/>
      <c r="H29" s="51"/>
      <c r="I29" s="51"/>
      <c r="J29" s="51"/>
      <c r="K29" s="51"/>
      <c r="L29" s="51"/>
      <c r="M29" s="51"/>
    </row>
    <row r="30" spans="1:13" ht="12.75">
      <c r="A30" s="51"/>
      <c r="C30" s="51"/>
      <c r="D30" s="51"/>
      <c r="F30" s="51"/>
      <c r="G30" s="51"/>
      <c r="H30" s="51"/>
      <c r="I30" s="51"/>
      <c r="J30" s="51"/>
      <c r="K30" s="51"/>
      <c r="L30" s="51"/>
      <c r="M30" s="51"/>
    </row>
    <row r="31" spans="1:13" ht="12.75">
      <c r="A31" s="51"/>
      <c r="C31" s="51"/>
      <c r="D31" s="51"/>
      <c r="F31" s="51"/>
      <c r="G31" s="51"/>
      <c r="H31" s="51"/>
      <c r="I31" s="51"/>
      <c r="J31" s="51"/>
      <c r="K31" s="51"/>
      <c r="L31" s="51"/>
      <c r="M31" s="51"/>
    </row>
    <row r="32" spans="1:13" ht="12.75">
      <c r="A32" s="51"/>
      <c r="C32" s="51"/>
      <c r="D32" s="51"/>
      <c r="E32" s="51"/>
      <c r="F32" s="51"/>
      <c r="G32" s="51"/>
      <c r="H32" s="51"/>
      <c r="I32" s="51"/>
      <c r="J32" s="51"/>
      <c r="K32" s="51"/>
      <c r="L32" s="51"/>
      <c r="M32" s="51"/>
    </row>
    <row r="33" spans="1:13" ht="12.75">
      <c r="A33" s="51"/>
      <c r="C33" s="51"/>
      <c r="D33" s="51"/>
      <c r="E33" s="51"/>
      <c r="F33" s="51"/>
      <c r="G33" s="51"/>
      <c r="H33" s="51"/>
      <c r="I33" s="51"/>
      <c r="J33" s="51"/>
      <c r="K33" s="51"/>
      <c r="L33" s="51"/>
      <c r="M33" s="51"/>
    </row>
    <row r="34" spans="1:13" ht="12.75">
      <c r="A34" s="51"/>
      <c r="C34" s="51"/>
      <c r="D34" s="51"/>
      <c r="E34" s="51"/>
      <c r="F34" s="51"/>
      <c r="G34" s="51"/>
      <c r="H34" s="51"/>
      <c r="I34" s="51"/>
      <c r="J34" s="51"/>
      <c r="K34" s="51"/>
      <c r="L34" s="51"/>
      <c r="M34" s="51"/>
    </row>
    <row r="35" spans="1:13" ht="12.75">
      <c r="A35" s="51"/>
      <c r="C35" s="51"/>
      <c r="D35" s="51"/>
      <c r="E35" s="51"/>
      <c r="F35" s="51"/>
      <c r="G35" s="51"/>
      <c r="H35" s="51"/>
      <c r="I35" s="51"/>
      <c r="J35" s="51"/>
      <c r="K35" s="51"/>
      <c r="L35" s="51"/>
      <c r="M35" s="51"/>
    </row>
    <row r="36" spans="1:13" ht="12.75">
      <c r="A36" s="51"/>
      <c r="C36" s="51"/>
      <c r="D36" s="51"/>
      <c r="E36" s="51"/>
      <c r="F36" s="51"/>
      <c r="G36" s="51"/>
      <c r="H36" s="51"/>
      <c r="I36" s="51"/>
      <c r="J36" s="51"/>
      <c r="K36" s="51"/>
      <c r="L36" s="51"/>
      <c r="M36" s="51"/>
    </row>
    <row r="37" spans="1:13" ht="12.75">
      <c r="A37" s="51"/>
      <c r="C37" s="51"/>
      <c r="D37" s="51"/>
      <c r="E37" s="51"/>
      <c r="F37" s="51"/>
      <c r="G37" s="51"/>
      <c r="H37" s="51"/>
      <c r="I37" s="51"/>
      <c r="J37" s="51"/>
      <c r="K37" s="51"/>
      <c r="L37" s="51"/>
      <c r="M37" s="51"/>
    </row>
    <row r="38" spans="1:13" ht="12.75">
      <c r="A38" s="51"/>
      <c r="C38" s="51"/>
      <c r="D38" s="51"/>
      <c r="E38" s="51"/>
      <c r="F38" s="51"/>
      <c r="G38" s="51"/>
      <c r="H38" s="51"/>
      <c r="I38" s="51"/>
      <c r="J38" s="51"/>
      <c r="K38" s="51"/>
      <c r="L38" s="51"/>
      <c r="M38" s="51"/>
    </row>
    <row r="39" spans="1:13" ht="12.75">
      <c r="A39" s="51"/>
      <c r="C39" s="51"/>
      <c r="D39" s="51"/>
      <c r="E39" s="51"/>
      <c r="F39" s="51"/>
      <c r="G39" s="51"/>
      <c r="H39" s="51"/>
      <c r="I39" s="51"/>
      <c r="J39" s="51"/>
      <c r="K39" s="51"/>
      <c r="L39" s="51"/>
      <c r="M39" s="51"/>
    </row>
    <row r="40" spans="1:13" ht="12.75">
      <c r="A40" s="51"/>
      <c r="C40" s="51"/>
      <c r="D40" s="51"/>
      <c r="E40" s="51"/>
      <c r="F40" s="51"/>
      <c r="G40" s="51"/>
      <c r="H40" s="51"/>
      <c r="I40" s="51"/>
      <c r="J40" s="51"/>
      <c r="K40" s="51"/>
      <c r="L40" s="51"/>
      <c r="M40" s="51"/>
    </row>
    <row r="41" spans="1:13" ht="12.75">
      <c r="A41" s="51"/>
      <c r="C41" s="51"/>
      <c r="D41" s="51"/>
      <c r="E41" s="51"/>
      <c r="F41" s="51"/>
      <c r="G41" s="51"/>
      <c r="H41" s="51"/>
      <c r="I41" s="51"/>
      <c r="J41" s="51"/>
      <c r="K41" s="51"/>
      <c r="L41" s="51"/>
      <c r="M41" s="51"/>
    </row>
    <row r="42" spans="1:13" ht="12.75">
      <c r="A42" s="51"/>
      <c r="C42" s="51"/>
      <c r="D42" s="51"/>
      <c r="E42" s="51"/>
      <c r="F42" s="51"/>
      <c r="G42" s="51"/>
      <c r="H42" s="51"/>
      <c r="I42" s="51"/>
      <c r="J42" s="51"/>
      <c r="K42" s="51"/>
      <c r="L42" s="51"/>
      <c r="M42" s="51"/>
    </row>
    <row r="43" spans="1:13" ht="12.75">
      <c r="A43" s="51"/>
      <c r="C43" s="51"/>
      <c r="D43" s="51"/>
      <c r="E43" s="51"/>
      <c r="F43" s="51"/>
      <c r="G43" s="51"/>
      <c r="H43" s="51"/>
      <c r="I43" s="51"/>
      <c r="J43" s="51"/>
      <c r="K43" s="51"/>
      <c r="L43" s="51"/>
      <c r="M43" s="51"/>
    </row>
    <row r="44" spans="1:13" ht="12.75">
      <c r="A44" s="51"/>
      <c r="C44" s="51"/>
      <c r="D44" s="51"/>
      <c r="E44" s="51"/>
      <c r="F44" s="51"/>
      <c r="G44" s="51"/>
      <c r="H44" s="51"/>
      <c r="I44" s="51"/>
      <c r="J44" s="51"/>
      <c r="K44" s="51"/>
      <c r="L44" s="51"/>
      <c r="M44" s="51"/>
    </row>
    <row r="45" spans="1:13" ht="12.75">
      <c r="A45" s="51"/>
      <c r="C45" s="51"/>
      <c r="D45" s="51"/>
      <c r="E45" s="51"/>
      <c r="F45" s="51"/>
      <c r="G45" s="51"/>
      <c r="H45" s="51"/>
      <c r="I45" s="51"/>
      <c r="J45" s="51"/>
      <c r="K45" s="51"/>
      <c r="L45" s="51"/>
      <c r="M45" s="51"/>
    </row>
    <row r="46" spans="1:13" ht="12.75">
      <c r="A46" s="51"/>
      <c r="C46" s="51"/>
      <c r="D46" s="51"/>
      <c r="E46" s="51"/>
      <c r="F46" s="51"/>
      <c r="G46" s="51"/>
      <c r="H46" s="51"/>
      <c r="I46" s="51"/>
      <c r="J46" s="51"/>
      <c r="K46" s="51"/>
      <c r="L46" s="51"/>
      <c r="M46" s="51"/>
    </row>
    <row r="47" spans="1:13" ht="12.75">
      <c r="A47" s="51"/>
      <c r="C47" s="51"/>
      <c r="D47" s="51"/>
      <c r="E47" s="51"/>
      <c r="F47" s="51"/>
      <c r="G47" s="51"/>
      <c r="H47" s="51"/>
      <c r="I47" s="51"/>
      <c r="J47" s="51"/>
      <c r="K47" s="51"/>
      <c r="L47" s="51"/>
      <c r="M47" s="51"/>
    </row>
    <row r="48" spans="1:13" ht="12.75">
      <c r="A48" s="51"/>
      <c r="C48" s="51"/>
      <c r="D48" s="51"/>
      <c r="E48" s="51"/>
      <c r="F48" s="51"/>
      <c r="G48" s="51"/>
      <c r="H48" s="51"/>
      <c r="I48" s="51"/>
      <c r="J48" s="51"/>
      <c r="K48" s="51"/>
      <c r="L48" s="51"/>
      <c r="M48" s="51"/>
    </row>
    <row r="49" spans="1:13" ht="12.75">
      <c r="A49" s="51"/>
      <c r="C49" s="51"/>
      <c r="D49" s="51"/>
      <c r="E49" s="51"/>
      <c r="F49" s="51"/>
      <c r="G49" s="51"/>
      <c r="H49" s="51"/>
      <c r="I49" s="51"/>
      <c r="J49" s="51"/>
      <c r="K49" s="51"/>
      <c r="L49" s="51"/>
      <c r="M49" s="51"/>
    </row>
    <row r="50" spans="1:13" ht="12.75">
      <c r="A50" s="51"/>
      <c r="C50" s="51"/>
      <c r="D50" s="51"/>
      <c r="E50" s="51"/>
      <c r="F50" s="51"/>
      <c r="G50" s="51"/>
      <c r="H50" s="51"/>
      <c r="I50" s="51"/>
      <c r="J50" s="51"/>
      <c r="K50" s="51"/>
      <c r="L50" s="51"/>
      <c r="M50" s="51"/>
    </row>
    <row r="51" spans="1:13" ht="12.75">
      <c r="A51" s="51"/>
      <c r="C51" s="51"/>
      <c r="D51" s="51"/>
      <c r="E51" s="51"/>
      <c r="F51" s="51"/>
      <c r="G51" s="51"/>
      <c r="H51" s="51"/>
      <c r="I51" s="51"/>
      <c r="J51" s="51"/>
      <c r="K51" s="51"/>
      <c r="L51" s="51"/>
      <c r="M51" s="51"/>
    </row>
    <row r="52" spans="1:13" ht="12.75">
      <c r="A52" s="51"/>
      <c r="C52" s="51"/>
      <c r="D52" s="51"/>
      <c r="E52" s="51"/>
      <c r="F52" s="51"/>
      <c r="G52" s="51"/>
      <c r="H52" s="51"/>
      <c r="I52" s="51"/>
      <c r="J52" s="51"/>
      <c r="K52" s="51"/>
      <c r="L52" s="51"/>
      <c r="M52" s="51"/>
    </row>
    <row r="53" spans="1:13" ht="12.75">
      <c r="A53" s="51"/>
      <c r="C53" s="51"/>
      <c r="D53" s="51"/>
      <c r="E53" s="51"/>
      <c r="F53" s="51"/>
      <c r="G53" s="51"/>
      <c r="H53" s="51"/>
      <c r="I53" s="51"/>
      <c r="J53" s="51"/>
      <c r="K53" s="51"/>
      <c r="L53" s="51"/>
      <c r="M53" s="51"/>
    </row>
    <row r="54" spans="1:13" ht="12.75">
      <c r="A54" s="51"/>
      <c r="C54" s="51"/>
      <c r="D54" s="51"/>
      <c r="E54" s="51"/>
      <c r="F54" s="51"/>
      <c r="G54" s="51"/>
      <c r="H54" s="51"/>
      <c r="I54" s="51"/>
      <c r="J54" s="51"/>
      <c r="K54" s="51"/>
      <c r="L54" s="51"/>
      <c r="M54" s="51"/>
    </row>
    <row r="55" spans="1:13" ht="12.75">
      <c r="A55" s="51"/>
      <c r="C55" s="51"/>
      <c r="D55" s="51"/>
      <c r="E55" s="51"/>
      <c r="F55" s="51"/>
      <c r="G55" s="51"/>
      <c r="H55" s="51"/>
      <c r="I55" s="51"/>
      <c r="J55" s="51"/>
      <c r="K55" s="51"/>
      <c r="L55" s="51"/>
      <c r="M55" s="51"/>
    </row>
    <row r="56" spans="1:13" ht="12.75">
      <c r="A56" s="51"/>
      <c r="C56" s="51"/>
      <c r="D56" s="51"/>
      <c r="E56" s="51"/>
      <c r="F56" s="51"/>
      <c r="G56" s="51"/>
      <c r="H56" s="51"/>
      <c r="I56" s="51"/>
      <c r="J56" s="51"/>
      <c r="K56" s="51"/>
      <c r="L56" s="51"/>
      <c r="M56" s="51"/>
    </row>
    <row r="57" spans="1:13" ht="12.75">
      <c r="A57" s="51"/>
      <c r="C57" s="51"/>
      <c r="D57" s="51"/>
      <c r="E57" s="51"/>
      <c r="F57" s="51"/>
      <c r="G57" s="51"/>
      <c r="H57" s="51"/>
      <c r="I57" s="51"/>
      <c r="J57" s="51"/>
      <c r="K57" s="51"/>
      <c r="L57" s="51"/>
      <c r="M57" s="51"/>
    </row>
    <row r="58" spans="1:13" ht="12.75">
      <c r="A58" s="51"/>
      <c r="C58" s="51"/>
      <c r="D58" s="51"/>
      <c r="E58" s="51"/>
      <c r="F58" s="51"/>
      <c r="G58" s="51"/>
      <c r="H58" s="51"/>
      <c r="I58" s="51"/>
      <c r="J58" s="51"/>
      <c r="K58" s="51"/>
      <c r="L58" s="51"/>
      <c r="M58" s="51"/>
    </row>
    <row r="59" spans="1:13" ht="12.75">
      <c r="A59" s="51"/>
      <c r="C59" s="51"/>
      <c r="D59" s="51"/>
      <c r="E59" s="51"/>
      <c r="F59" s="51"/>
      <c r="G59" s="51"/>
      <c r="H59" s="51"/>
      <c r="I59" s="51"/>
      <c r="J59" s="51"/>
      <c r="K59" s="51"/>
      <c r="L59" s="51"/>
      <c r="M59" s="51"/>
    </row>
    <row r="60" spans="1:13" ht="12.75">
      <c r="A60" s="51"/>
      <c r="C60" s="51"/>
      <c r="D60" s="51"/>
      <c r="E60" s="51"/>
      <c r="F60" s="51"/>
      <c r="G60" s="51"/>
      <c r="H60" s="51"/>
      <c r="I60" s="51"/>
      <c r="J60" s="51"/>
      <c r="K60" s="51"/>
      <c r="L60" s="51"/>
      <c r="M60" s="51"/>
    </row>
    <row r="61" spans="1:13" ht="12.75">
      <c r="A61" s="51"/>
      <c r="C61" s="51"/>
      <c r="D61" s="51"/>
      <c r="E61" s="51"/>
      <c r="F61" s="51"/>
      <c r="G61" s="51"/>
      <c r="H61" s="51"/>
      <c r="I61" s="51"/>
      <c r="J61" s="51"/>
      <c r="K61" s="51"/>
      <c r="L61" s="51"/>
      <c r="M61" s="51"/>
    </row>
    <row r="62" spans="1:13" ht="12.75">
      <c r="A62" s="51"/>
      <c r="C62" s="51"/>
      <c r="D62" s="51"/>
      <c r="E62" s="51"/>
      <c r="F62" s="51"/>
      <c r="G62" s="51"/>
      <c r="H62" s="51"/>
      <c r="I62" s="51"/>
      <c r="J62" s="51"/>
      <c r="K62" s="51"/>
      <c r="L62" s="51"/>
      <c r="M62" s="51"/>
    </row>
    <row r="63" spans="1:13" ht="12.75">
      <c r="A63" s="51"/>
      <c r="C63" s="51"/>
      <c r="D63" s="51"/>
      <c r="E63" s="51"/>
      <c r="F63" s="51"/>
      <c r="G63" s="51"/>
      <c r="H63" s="51"/>
      <c r="I63" s="51"/>
      <c r="J63" s="51"/>
      <c r="K63" s="51"/>
      <c r="L63" s="51"/>
      <c r="M63" s="51"/>
    </row>
    <row r="64" spans="1:13" ht="12.75">
      <c r="A64" s="51"/>
      <c r="C64" s="51"/>
      <c r="D64" s="51"/>
      <c r="E64" s="51"/>
      <c r="F64" s="51"/>
      <c r="G64" s="51"/>
      <c r="H64" s="51"/>
      <c r="I64" s="51"/>
      <c r="J64" s="51"/>
      <c r="K64" s="51"/>
      <c r="L64" s="51"/>
      <c r="M64" s="51"/>
    </row>
    <row r="65" spans="1:13" ht="12.75">
      <c r="A65" s="51"/>
      <c r="C65" s="51"/>
      <c r="D65" s="51"/>
      <c r="E65" s="51"/>
      <c r="F65" s="51"/>
      <c r="G65" s="51"/>
      <c r="H65" s="51"/>
      <c r="I65" s="51"/>
      <c r="J65" s="51"/>
      <c r="K65" s="51"/>
      <c r="L65" s="51"/>
      <c r="M65" s="51"/>
    </row>
    <row r="66" spans="1:13" ht="12.75">
      <c r="A66" s="51"/>
      <c r="C66" s="51"/>
      <c r="D66" s="51"/>
      <c r="E66" s="51"/>
      <c r="F66" s="51"/>
      <c r="G66" s="51"/>
      <c r="H66" s="51"/>
      <c r="I66" s="51"/>
      <c r="J66" s="51"/>
      <c r="K66" s="51"/>
      <c r="L66" s="51"/>
      <c r="M66" s="51"/>
    </row>
    <row r="67" spans="1:13" ht="12.75">
      <c r="A67" s="51"/>
      <c r="C67" s="51"/>
      <c r="D67" s="51"/>
      <c r="E67" s="51"/>
      <c r="F67" s="51"/>
      <c r="G67" s="51"/>
      <c r="H67" s="51"/>
      <c r="I67" s="51"/>
      <c r="J67" s="51"/>
      <c r="K67" s="51"/>
      <c r="L67" s="51"/>
      <c r="M67" s="51"/>
    </row>
    <row r="68" spans="1:13" ht="12.75">
      <c r="A68" s="51"/>
      <c r="C68" s="51"/>
      <c r="D68" s="51"/>
      <c r="E68" s="51"/>
      <c r="F68" s="51"/>
      <c r="G68" s="51"/>
      <c r="H68" s="51"/>
      <c r="I68" s="51"/>
      <c r="J68" s="51"/>
      <c r="K68" s="51"/>
      <c r="L68" s="51"/>
      <c r="M68" s="51"/>
    </row>
    <row r="69" spans="1:13" ht="12.75">
      <c r="A69" s="51"/>
      <c r="C69" s="51"/>
      <c r="D69" s="51"/>
      <c r="E69" s="51"/>
      <c r="F69" s="51"/>
      <c r="G69" s="51"/>
      <c r="H69" s="51"/>
      <c r="I69" s="51"/>
      <c r="J69" s="51"/>
      <c r="K69" s="51"/>
      <c r="L69" s="51"/>
      <c r="M69" s="51"/>
    </row>
    <row r="70" spans="1:13" ht="12.75">
      <c r="A70" s="51"/>
      <c r="C70" s="51"/>
      <c r="D70" s="51"/>
      <c r="E70" s="51"/>
      <c r="F70" s="51"/>
      <c r="G70" s="51"/>
      <c r="H70" s="51"/>
      <c r="I70" s="51"/>
      <c r="J70" s="51"/>
      <c r="K70" s="51"/>
      <c r="L70" s="51"/>
      <c r="M70" s="51"/>
    </row>
    <row r="71" spans="1:13" ht="12.75">
      <c r="A71" s="51"/>
      <c r="C71" s="51"/>
      <c r="D71" s="51"/>
      <c r="E71" s="51"/>
      <c r="F71" s="51"/>
      <c r="G71" s="51"/>
      <c r="H71" s="51"/>
      <c r="I71" s="51"/>
      <c r="J71" s="51"/>
      <c r="K71" s="51"/>
      <c r="L71" s="51"/>
      <c r="M71" s="51"/>
    </row>
    <row r="72" spans="1:13" ht="12.75">
      <c r="A72" s="51"/>
      <c r="C72" s="51"/>
      <c r="D72" s="51"/>
      <c r="E72" s="51"/>
      <c r="F72" s="51"/>
      <c r="G72" s="51"/>
      <c r="H72" s="51"/>
      <c r="I72" s="51"/>
      <c r="J72" s="51"/>
      <c r="K72" s="51"/>
      <c r="L72" s="51"/>
      <c r="M72" s="51"/>
    </row>
    <row r="73" spans="1:13" ht="12.75">
      <c r="A73" s="51"/>
      <c r="C73" s="51"/>
      <c r="D73" s="51"/>
      <c r="E73" s="51"/>
      <c r="F73" s="51"/>
      <c r="G73" s="51"/>
      <c r="H73" s="51"/>
      <c r="I73" s="51"/>
      <c r="J73" s="51"/>
      <c r="K73" s="51"/>
      <c r="L73" s="51"/>
      <c r="M73" s="51"/>
    </row>
    <row r="74" spans="1:13" ht="12.75">
      <c r="A74" s="51"/>
      <c r="C74" s="51"/>
      <c r="D74" s="51"/>
      <c r="E74" s="51"/>
      <c r="F74" s="51"/>
      <c r="G74" s="51"/>
      <c r="H74" s="51"/>
      <c r="I74" s="51"/>
      <c r="J74" s="51"/>
      <c r="K74" s="51"/>
      <c r="L74" s="51"/>
      <c r="M74" s="51"/>
    </row>
    <row r="75" spans="1:13" ht="12.75">
      <c r="A75" s="51"/>
      <c r="C75" s="51"/>
      <c r="D75" s="51"/>
      <c r="E75" s="51"/>
      <c r="F75" s="51"/>
      <c r="G75" s="51"/>
      <c r="H75" s="51"/>
      <c r="I75" s="51"/>
      <c r="J75" s="51"/>
      <c r="K75" s="51"/>
      <c r="L75" s="51"/>
      <c r="M75" s="51"/>
    </row>
    <row r="76" spans="1:13" ht="12.75">
      <c r="A76" s="51"/>
      <c r="C76" s="51"/>
      <c r="D76" s="51"/>
      <c r="E76" s="51"/>
      <c r="F76" s="51"/>
      <c r="G76" s="51"/>
      <c r="H76" s="51"/>
      <c r="I76" s="51"/>
      <c r="J76" s="51"/>
      <c r="K76" s="51"/>
      <c r="L76" s="51"/>
      <c r="M76" s="51"/>
    </row>
    <row r="77" spans="1:13" ht="12.75">
      <c r="A77" s="51"/>
      <c r="C77" s="51"/>
      <c r="D77" s="51"/>
      <c r="E77" s="51"/>
      <c r="F77" s="51"/>
      <c r="G77" s="51"/>
      <c r="H77" s="51"/>
      <c r="I77" s="51"/>
      <c r="J77" s="51"/>
      <c r="K77" s="51"/>
      <c r="L77" s="51"/>
      <c r="M77" s="51"/>
    </row>
    <row r="78" spans="1:13" ht="12.75">
      <c r="A78" s="51"/>
      <c r="C78" s="51"/>
      <c r="D78" s="51"/>
      <c r="E78" s="51"/>
      <c r="F78" s="51"/>
      <c r="G78" s="51"/>
      <c r="H78" s="51"/>
      <c r="I78" s="51"/>
      <c r="J78" s="51"/>
      <c r="K78" s="51"/>
      <c r="L78" s="51"/>
      <c r="M78" s="51"/>
    </row>
    <row r="79" spans="1:13" ht="12.75">
      <c r="A79" s="51"/>
      <c r="C79" s="51"/>
      <c r="D79" s="51"/>
      <c r="E79" s="51"/>
      <c r="F79" s="51"/>
      <c r="G79" s="51"/>
      <c r="H79" s="51"/>
      <c r="I79" s="51"/>
      <c r="J79" s="51"/>
      <c r="K79" s="51"/>
      <c r="L79" s="51"/>
      <c r="M79" s="51"/>
    </row>
    <row r="80" spans="1:13" ht="12.75">
      <c r="A80" s="51"/>
      <c r="C80" s="51"/>
      <c r="D80" s="51"/>
      <c r="E80" s="51"/>
      <c r="F80" s="51"/>
      <c r="G80" s="51"/>
      <c r="H80" s="51"/>
      <c r="I80" s="51"/>
      <c r="J80" s="51"/>
      <c r="K80" s="51"/>
      <c r="L80" s="51"/>
      <c r="M80" s="51"/>
    </row>
    <row r="81" spans="1:13" ht="12.75">
      <c r="A81" s="51"/>
      <c r="C81" s="51"/>
      <c r="D81" s="51"/>
      <c r="E81" s="51"/>
      <c r="F81" s="51"/>
      <c r="G81" s="51"/>
      <c r="H81" s="51"/>
      <c r="I81" s="51"/>
      <c r="J81" s="51"/>
      <c r="K81" s="51"/>
      <c r="L81" s="51"/>
      <c r="M81" s="51"/>
    </row>
    <row r="82" spans="1:13" ht="12.75">
      <c r="A82" s="51"/>
      <c r="C82" s="51"/>
      <c r="D82" s="51"/>
      <c r="E82" s="51"/>
      <c r="F82" s="51"/>
      <c r="G82" s="51"/>
      <c r="H82" s="51"/>
      <c r="I82" s="51"/>
      <c r="J82" s="51"/>
      <c r="K82" s="51"/>
      <c r="L82" s="51"/>
      <c r="M82" s="51"/>
    </row>
    <row r="83" spans="1:13" ht="12.75">
      <c r="A83" s="51"/>
      <c r="C83" s="51"/>
      <c r="D83" s="51"/>
      <c r="E83" s="51"/>
      <c r="F83" s="51"/>
      <c r="G83" s="51"/>
      <c r="H83" s="51"/>
      <c r="I83" s="51"/>
      <c r="J83" s="51"/>
      <c r="K83" s="51"/>
      <c r="L83" s="51"/>
      <c r="M83" s="51"/>
    </row>
    <row r="84" spans="1:13" ht="12.75">
      <c r="A84" s="51"/>
      <c r="C84" s="51"/>
      <c r="D84" s="51"/>
      <c r="E84" s="51"/>
      <c r="F84" s="51"/>
      <c r="G84" s="51"/>
      <c r="H84" s="51"/>
      <c r="I84" s="51"/>
      <c r="J84" s="51"/>
      <c r="K84" s="51"/>
      <c r="L84" s="51"/>
      <c r="M84" s="51"/>
    </row>
    <row r="85" spans="1:13" ht="12.75">
      <c r="A85" s="51"/>
      <c r="C85" s="51"/>
      <c r="D85" s="51"/>
      <c r="E85" s="51"/>
      <c r="F85" s="51"/>
      <c r="G85" s="51"/>
      <c r="H85" s="51"/>
      <c r="I85" s="51"/>
      <c r="J85" s="51"/>
      <c r="K85" s="51"/>
      <c r="L85" s="51"/>
      <c r="M85" s="51"/>
    </row>
    <row r="86" spans="1:13" ht="12.75">
      <c r="A86" s="51"/>
      <c r="C86" s="51"/>
      <c r="D86" s="51"/>
      <c r="E86" s="51"/>
      <c r="F86" s="51"/>
      <c r="G86" s="51"/>
      <c r="H86" s="51"/>
      <c r="I86" s="51"/>
      <c r="J86" s="51"/>
      <c r="K86" s="51"/>
      <c r="L86" s="51"/>
      <c r="M86" s="51"/>
    </row>
    <row r="87" spans="1:13" ht="12.75">
      <c r="A87" s="51"/>
      <c r="C87" s="51"/>
      <c r="D87" s="51"/>
      <c r="E87" s="51"/>
      <c r="F87" s="51"/>
      <c r="G87" s="51"/>
      <c r="H87" s="51"/>
      <c r="I87" s="51"/>
      <c r="J87" s="51"/>
      <c r="K87" s="51"/>
      <c r="L87" s="51"/>
      <c r="M87" s="51"/>
    </row>
    <row r="88" spans="1:13" ht="12.75">
      <c r="A88" s="51"/>
      <c r="C88" s="51"/>
      <c r="D88" s="51"/>
      <c r="E88" s="51"/>
      <c r="F88" s="51"/>
      <c r="G88" s="51"/>
      <c r="H88" s="51"/>
      <c r="I88" s="51"/>
      <c r="J88" s="51"/>
      <c r="K88" s="51"/>
      <c r="L88" s="51"/>
      <c r="M88" s="51"/>
    </row>
    <row r="89" spans="1:13" ht="12.75">
      <c r="A89" s="51"/>
      <c r="C89" s="51"/>
      <c r="D89" s="51"/>
      <c r="E89" s="51"/>
      <c r="F89" s="51"/>
      <c r="G89" s="51"/>
      <c r="H89" s="51"/>
      <c r="I89" s="51"/>
      <c r="J89" s="51"/>
      <c r="K89" s="51"/>
      <c r="L89" s="51"/>
      <c r="M89" s="51"/>
    </row>
    <row r="90" spans="1:13" ht="12.75">
      <c r="A90" s="51"/>
      <c r="C90" s="51"/>
      <c r="D90" s="51"/>
      <c r="E90" s="51"/>
      <c r="F90" s="51"/>
      <c r="G90" s="51"/>
      <c r="H90" s="51"/>
      <c r="I90" s="51"/>
      <c r="J90" s="51"/>
      <c r="K90" s="51"/>
      <c r="L90" s="51"/>
      <c r="M90" s="51"/>
    </row>
    <row r="91" spans="1:13" ht="12.75">
      <c r="A91" s="51"/>
      <c r="C91" s="51"/>
      <c r="D91" s="51"/>
      <c r="E91" s="51"/>
      <c r="F91" s="51"/>
      <c r="G91" s="51"/>
      <c r="H91" s="51"/>
      <c r="I91" s="51"/>
      <c r="J91" s="51"/>
      <c r="K91" s="51"/>
      <c r="L91" s="51"/>
      <c r="M91" s="51"/>
    </row>
    <row r="92" spans="1:13" ht="12.75">
      <c r="A92" s="51"/>
      <c r="C92" s="51"/>
      <c r="D92" s="51"/>
      <c r="E92" s="51"/>
      <c r="F92" s="51"/>
      <c r="G92" s="51"/>
      <c r="H92" s="51"/>
      <c r="I92" s="51"/>
      <c r="J92" s="51"/>
      <c r="K92" s="51"/>
      <c r="L92" s="51"/>
      <c r="M92" s="51"/>
    </row>
    <row r="93" spans="1:13" ht="12.75">
      <c r="A93" s="51"/>
      <c r="C93" s="51"/>
      <c r="D93" s="51"/>
      <c r="E93" s="51"/>
      <c r="F93" s="51"/>
      <c r="G93" s="51"/>
      <c r="H93" s="51"/>
      <c r="I93" s="51"/>
      <c r="J93" s="51"/>
      <c r="K93" s="51"/>
      <c r="L93" s="51"/>
      <c r="M93" s="51"/>
    </row>
    <row r="94" spans="1:13" ht="12.75">
      <c r="A94" s="51"/>
      <c r="C94" s="51"/>
      <c r="D94" s="51"/>
      <c r="E94" s="51"/>
      <c r="F94" s="51"/>
      <c r="G94" s="51"/>
      <c r="H94" s="51"/>
      <c r="I94" s="51"/>
      <c r="J94" s="51"/>
      <c r="K94" s="51"/>
      <c r="L94" s="51"/>
      <c r="M94" s="51"/>
    </row>
    <row r="95" spans="1:13" ht="12.75">
      <c r="A95" s="51"/>
      <c r="C95" s="51"/>
      <c r="D95" s="51"/>
      <c r="E95" s="51"/>
      <c r="F95" s="51"/>
      <c r="G95" s="51"/>
      <c r="H95" s="51"/>
      <c r="I95" s="51"/>
      <c r="J95" s="51"/>
      <c r="K95" s="51"/>
      <c r="L95" s="51"/>
      <c r="M95" s="51"/>
    </row>
    <row r="96" spans="1:13" ht="12.75">
      <c r="A96" s="51"/>
      <c r="C96" s="51"/>
      <c r="D96" s="51"/>
      <c r="E96" s="51"/>
      <c r="F96" s="51"/>
      <c r="G96" s="51"/>
      <c r="H96" s="51"/>
      <c r="I96" s="51"/>
      <c r="J96" s="51"/>
      <c r="K96" s="51"/>
      <c r="L96" s="51"/>
      <c r="M96" s="51"/>
    </row>
    <row r="97" spans="1:13" ht="12.75">
      <c r="A97" s="51"/>
      <c r="C97" s="51"/>
      <c r="D97" s="51"/>
      <c r="E97" s="51"/>
      <c r="F97" s="51"/>
      <c r="G97" s="51"/>
      <c r="H97" s="51"/>
      <c r="I97" s="51"/>
      <c r="J97" s="51"/>
      <c r="K97" s="51"/>
      <c r="L97" s="51"/>
      <c r="M97" s="51"/>
    </row>
    <row r="98" spans="1:13" ht="12.75">
      <c r="A98" s="51"/>
      <c r="C98" s="51"/>
      <c r="D98" s="51"/>
      <c r="E98" s="51"/>
      <c r="F98" s="51"/>
      <c r="G98" s="51"/>
      <c r="H98" s="51"/>
      <c r="I98" s="51"/>
      <c r="J98" s="51"/>
      <c r="K98" s="51"/>
      <c r="L98" s="51"/>
      <c r="M98" s="51"/>
    </row>
    <row r="99" spans="1:13" ht="12.75">
      <c r="A99" s="51"/>
      <c r="C99" s="51"/>
      <c r="D99" s="51"/>
      <c r="E99" s="51"/>
      <c r="F99" s="51"/>
      <c r="G99" s="51"/>
      <c r="H99" s="51"/>
      <c r="I99" s="51"/>
      <c r="J99" s="51"/>
      <c r="K99" s="51"/>
      <c r="L99" s="51"/>
      <c r="M99" s="51"/>
    </row>
    <row r="100" spans="1:13" ht="12.75">
      <c r="A100" s="51"/>
      <c r="C100" s="51"/>
      <c r="D100" s="51"/>
      <c r="E100" s="51"/>
      <c r="F100" s="51"/>
      <c r="G100" s="51"/>
      <c r="H100" s="51"/>
      <c r="I100" s="51"/>
      <c r="J100" s="51"/>
      <c r="K100" s="51"/>
      <c r="L100" s="51"/>
      <c r="M100" s="51"/>
    </row>
    <row r="101" spans="1:13" ht="12.75">
      <c r="A101" s="51"/>
      <c r="C101" s="51"/>
      <c r="D101" s="51"/>
      <c r="E101" s="51"/>
      <c r="F101" s="51"/>
      <c r="G101" s="51"/>
      <c r="H101" s="51"/>
      <c r="I101" s="51"/>
      <c r="J101" s="51"/>
      <c r="K101" s="51"/>
      <c r="L101" s="51"/>
      <c r="M101" s="51"/>
    </row>
    <row r="102" spans="1:13" ht="12.75">
      <c r="A102" s="51"/>
      <c r="C102" s="51"/>
      <c r="D102" s="51"/>
      <c r="E102" s="51"/>
      <c r="F102" s="51"/>
      <c r="G102" s="51"/>
      <c r="H102" s="51"/>
      <c r="I102" s="51"/>
      <c r="J102" s="51"/>
      <c r="K102" s="51"/>
      <c r="L102" s="51"/>
      <c r="M102" s="51"/>
    </row>
    <row r="103" spans="1:13" ht="12.75">
      <c r="A103" s="51"/>
      <c r="C103" s="51"/>
      <c r="D103" s="51"/>
      <c r="E103" s="51"/>
      <c r="F103" s="51"/>
      <c r="G103" s="51"/>
      <c r="H103" s="51"/>
      <c r="I103" s="51"/>
      <c r="J103" s="51"/>
      <c r="K103" s="51"/>
      <c r="L103" s="51"/>
      <c r="M103" s="51"/>
    </row>
    <row r="104" spans="1:13" ht="12.75">
      <c r="A104" s="51"/>
      <c r="C104" s="51"/>
      <c r="D104" s="51"/>
      <c r="E104" s="51"/>
      <c r="F104" s="51"/>
      <c r="G104" s="51"/>
      <c r="H104" s="51"/>
      <c r="I104" s="51"/>
      <c r="J104" s="51"/>
      <c r="K104" s="51"/>
      <c r="L104" s="51"/>
      <c r="M104" s="51"/>
    </row>
    <row r="105" spans="1:13" ht="12.75">
      <c r="A105" s="51"/>
      <c r="C105" s="51"/>
      <c r="D105" s="51"/>
      <c r="E105" s="51"/>
      <c r="F105" s="51"/>
      <c r="G105" s="51"/>
      <c r="H105" s="51"/>
      <c r="I105" s="51"/>
      <c r="J105" s="51"/>
      <c r="K105" s="51"/>
      <c r="L105" s="51"/>
      <c r="M105" s="51"/>
    </row>
    <row r="106" spans="1:13" ht="12.75">
      <c r="A106" s="51"/>
      <c r="C106" s="51"/>
      <c r="D106" s="51"/>
      <c r="E106" s="51"/>
      <c r="F106" s="51"/>
      <c r="G106" s="51"/>
      <c r="H106" s="51"/>
      <c r="I106" s="51"/>
      <c r="J106" s="51"/>
      <c r="K106" s="51"/>
      <c r="L106" s="51"/>
      <c r="M106" s="51"/>
    </row>
    <row r="107" spans="1:13" ht="12.75">
      <c r="A107" s="51"/>
      <c r="C107" s="51"/>
      <c r="D107" s="51"/>
      <c r="E107" s="51"/>
      <c r="F107" s="51"/>
      <c r="G107" s="51"/>
      <c r="H107" s="51"/>
      <c r="I107" s="51"/>
      <c r="J107" s="51"/>
      <c r="K107" s="51"/>
      <c r="L107" s="51"/>
      <c r="M107" s="51"/>
    </row>
    <row r="108" spans="1:13" ht="12.75">
      <c r="A108" s="51"/>
      <c r="C108" s="51"/>
      <c r="D108" s="51"/>
      <c r="E108" s="51"/>
      <c r="F108" s="51"/>
      <c r="G108" s="51"/>
      <c r="H108" s="51"/>
      <c r="I108" s="51"/>
      <c r="J108" s="51"/>
      <c r="K108" s="51"/>
      <c r="L108" s="51"/>
      <c r="M108" s="51"/>
    </row>
    <row r="109" spans="1:13" ht="12.75">
      <c r="A109" s="51"/>
      <c r="C109" s="51"/>
      <c r="D109" s="51"/>
      <c r="E109" s="51"/>
      <c r="F109" s="51"/>
      <c r="G109" s="51"/>
      <c r="H109" s="51"/>
      <c r="I109" s="51"/>
      <c r="J109" s="51"/>
      <c r="K109" s="51"/>
      <c r="L109" s="51"/>
      <c r="M109" s="51"/>
    </row>
    <row r="110" spans="1:13" ht="12.75">
      <c r="A110" s="51"/>
      <c r="C110" s="51"/>
      <c r="D110" s="51"/>
      <c r="E110" s="51"/>
      <c r="F110" s="51"/>
      <c r="G110" s="51"/>
      <c r="H110" s="51"/>
      <c r="I110" s="51"/>
      <c r="J110" s="51"/>
      <c r="K110" s="51"/>
      <c r="L110" s="51"/>
      <c r="M110" s="51"/>
    </row>
    <row r="111" spans="1:13" ht="12.75">
      <c r="A111" s="51"/>
      <c r="C111" s="51"/>
      <c r="D111" s="51"/>
      <c r="E111" s="51"/>
      <c r="F111" s="51"/>
      <c r="G111" s="51"/>
      <c r="H111" s="51"/>
      <c r="I111" s="51"/>
      <c r="J111" s="51"/>
      <c r="K111" s="51"/>
      <c r="L111" s="51"/>
      <c r="M111" s="51"/>
    </row>
    <row r="112" spans="1:13" ht="12.75">
      <c r="A112" s="51"/>
      <c r="C112" s="51"/>
      <c r="D112" s="51"/>
      <c r="E112" s="51"/>
      <c r="F112" s="51"/>
      <c r="G112" s="51"/>
      <c r="H112" s="51"/>
      <c r="I112" s="51"/>
      <c r="J112" s="51"/>
      <c r="K112" s="51"/>
      <c r="L112" s="51"/>
      <c r="M112" s="51"/>
    </row>
    <row r="113" spans="1:13" ht="12.75">
      <c r="A113" s="51"/>
      <c r="C113" s="51"/>
      <c r="D113" s="51"/>
      <c r="E113" s="51"/>
      <c r="F113" s="51"/>
      <c r="G113" s="51"/>
      <c r="H113" s="51"/>
      <c r="I113" s="51"/>
      <c r="J113" s="51"/>
      <c r="K113" s="51"/>
      <c r="L113" s="51"/>
      <c r="M113" s="51"/>
    </row>
    <row r="114" spans="1:13" ht="12.75">
      <c r="A114" s="51"/>
      <c r="C114" s="51"/>
      <c r="D114" s="51"/>
      <c r="E114" s="51"/>
      <c r="F114" s="51"/>
      <c r="G114" s="51"/>
      <c r="H114" s="51"/>
      <c r="I114" s="51"/>
      <c r="J114" s="51"/>
      <c r="K114" s="51"/>
      <c r="L114" s="51"/>
      <c r="M114" s="51"/>
    </row>
    <row r="115" spans="1:13" ht="12.75">
      <c r="A115" s="51"/>
      <c r="C115" s="51"/>
      <c r="D115" s="51"/>
      <c r="E115" s="51"/>
      <c r="F115" s="51"/>
      <c r="G115" s="51"/>
      <c r="H115" s="51"/>
      <c r="I115" s="51"/>
      <c r="J115" s="51"/>
      <c r="K115" s="51"/>
      <c r="L115" s="51"/>
      <c r="M115" s="51"/>
    </row>
    <row r="116" spans="1:13" ht="12.75">
      <c r="A116" s="51"/>
      <c r="C116" s="51"/>
      <c r="D116" s="51"/>
      <c r="E116" s="51"/>
      <c r="F116" s="51"/>
      <c r="G116" s="51"/>
      <c r="H116" s="51"/>
      <c r="I116" s="51"/>
      <c r="J116" s="51"/>
      <c r="K116" s="51"/>
      <c r="L116" s="51"/>
      <c r="M116" s="51"/>
    </row>
    <row r="117" spans="1:13" ht="12.75">
      <c r="A117" s="51"/>
      <c r="C117" s="51"/>
      <c r="D117" s="51"/>
      <c r="E117" s="51"/>
      <c r="F117" s="51"/>
      <c r="G117" s="51"/>
      <c r="H117" s="51"/>
      <c r="I117" s="51"/>
      <c r="J117" s="51"/>
      <c r="K117" s="51"/>
      <c r="L117" s="51"/>
      <c r="M117" s="51"/>
    </row>
    <row r="118" spans="1:13" ht="12.75">
      <c r="A118" s="51"/>
      <c r="C118" s="51"/>
      <c r="D118" s="51"/>
      <c r="E118" s="51"/>
      <c r="F118" s="51"/>
      <c r="G118" s="51"/>
      <c r="H118" s="51"/>
      <c r="I118" s="51"/>
      <c r="J118" s="51"/>
      <c r="K118" s="51"/>
      <c r="L118" s="51"/>
      <c r="M118" s="51"/>
    </row>
  </sheetData>
  <sheetProtection/>
  <printOptions/>
  <pageMargins left="0.5" right="0.5" top="0.75" bottom="0.75"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2:U105"/>
  <sheetViews>
    <sheetView zoomScalePageLayoutView="0" workbookViewId="0" topLeftCell="A1">
      <pane xSplit="2" ySplit="6" topLeftCell="C76" activePane="bottomRight" state="frozen"/>
      <selection pane="topLeft" activeCell="I58" sqref="I58"/>
      <selection pane="topRight" activeCell="I58" sqref="I58"/>
      <selection pane="bottomLeft" activeCell="I58" sqref="I58"/>
      <selection pane="bottomRight" activeCell="N8" sqref="N8"/>
    </sheetView>
  </sheetViews>
  <sheetFormatPr defaultColWidth="9.140625" defaultRowHeight="12.75"/>
  <cols>
    <col min="1" max="1" width="6.00390625" style="51" customWidth="1"/>
    <col min="2" max="2" width="17.8515625" style="51" customWidth="1"/>
    <col min="3" max="4" width="9.8515625" style="51" customWidth="1"/>
    <col min="5" max="5" width="11.28125" style="51" customWidth="1"/>
    <col min="6" max="7" width="9.57421875" style="51" customWidth="1"/>
    <col min="8" max="8" width="9.8515625" style="51" customWidth="1"/>
    <col min="9" max="9" width="10.421875" style="51" customWidth="1"/>
    <col min="10" max="10" width="10.7109375" style="51" customWidth="1"/>
    <col min="11" max="14" width="9.140625" style="51" customWidth="1"/>
    <col min="15" max="15" width="10.7109375" style="51" bestFit="1" customWidth="1"/>
    <col min="16" max="16" width="9.140625" style="51" customWidth="1"/>
    <col min="17" max="17" width="9.7109375" style="51" bestFit="1" customWidth="1"/>
    <col min="18" max="20" width="9.140625" style="51" customWidth="1"/>
    <col min="21" max="21" width="9.7109375" style="51" bestFit="1" customWidth="1"/>
    <col min="22" max="16384" width="9.140625" style="51" customWidth="1"/>
  </cols>
  <sheetData>
    <row r="1" ht="11.25"/>
    <row r="2" spans="2:3" ht="11.25">
      <c r="B2" s="65" t="str">
        <f>+'WUTC_AW of Lynnwood_MF'!A1</f>
        <v>Rabanco Ltd (dba Allied Waste of Lynnwood)</v>
      </c>
      <c r="C2" s="66"/>
    </row>
    <row r="3" ht="11.25">
      <c r="C3" s="66"/>
    </row>
    <row r="4" spans="3:10" ht="11.25">
      <c r="C4" s="67"/>
      <c r="D4" s="67"/>
      <c r="E4" s="67"/>
      <c r="F4" s="67"/>
      <c r="G4" s="67"/>
      <c r="H4" s="68"/>
      <c r="I4" s="68"/>
      <c r="J4" s="65"/>
    </row>
    <row r="5" spans="3:10" ht="11.25">
      <c r="C5" s="67"/>
      <c r="D5" s="67"/>
      <c r="E5" s="67"/>
      <c r="F5" s="67"/>
      <c r="G5" s="67"/>
      <c r="H5" s="68"/>
      <c r="I5" s="68"/>
      <c r="J5" s="67"/>
    </row>
    <row r="6" spans="3:14" ht="9.75" customHeight="1">
      <c r="C6" s="110">
        <v>41760</v>
      </c>
      <c r="D6" s="69">
        <f aca="true" t="shared" si="0" ref="D6:N6">EOMONTH(C6,1)</f>
        <v>41820</v>
      </c>
      <c r="E6" s="69">
        <f t="shared" si="0"/>
        <v>41851</v>
      </c>
      <c r="F6" s="69">
        <f t="shared" si="0"/>
        <v>41882</v>
      </c>
      <c r="G6" s="69">
        <f t="shared" si="0"/>
        <v>41912</v>
      </c>
      <c r="H6" s="69">
        <f t="shared" si="0"/>
        <v>41943</v>
      </c>
      <c r="I6" s="69">
        <f t="shared" si="0"/>
        <v>41973</v>
      </c>
      <c r="J6" s="69">
        <f t="shared" si="0"/>
        <v>42004</v>
      </c>
      <c r="K6" s="69">
        <f t="shared" si="0"/>
        <v>42035</v>
      </c>
      <c r="L6" s="69">
        <f t="shared" si="0"/>
        <v>42063</v>
      </c>
      <c r="M6" s="69">
        <f t="shared" si="0"/>
        <v>42094</v>
      </c>
      <c r="N6" s="69">
        <f t="shared" si="0"/>
        <v>42124</v>
      </c>
    </row>
    <row r="7" spans="1:14" s="52" customFormat="1" ht="11.25">
      <c r="A7" s="70" t="s">
        <v>29</v>
      </c>
      <c r="C7" s="111">
        <v>87.64</v>
      </c>
      <c r="D7" s="111">
        <v>93.49</v>
      </c>
      <c r="E7" s="111">
        <v>97.62</v>
      </c>
      <c r="F7" s="111">
        <v>82.33</v>
      </c>
      <c r="G7" s="111">
        <v>102.45</v>
      </c>
      <c r="H7" s="111">
        <v>100.72</v>
      </c>
      <c r="I7" s="111">
        <v>88.42</v>
      </c>
      <c r="J7" s="111">
        <v>43.81</v>
      </c>
      <c r="K7" s="111">
        <v>88.72</v>
      </c>
      <c r="L7" s="111">
        <v>75.35</v>
      </c>
      <c r="M7" s="111">
        <v>86.49</v>
      </c>
      <c r="N7" s="111">
        <v>88.25</v>
      </c>
    </row>
    <row r="8" spans="1:14" ht="11.25">
      <c r="A8" s="51" t="s">
        <v>30</v>
      </c>
      <c r="C8" s="71">
        <v>0</v>
      </c>
      <c r="D8" s="71">
        <v>0</v>
      </c>
      <c r="E8" s="71">
        <v>0</v>
      </c>
      <c r="F8" s="71">
        <v>0</v>
      </c>
      <c r="G8" s="71">
        <v>0</v>
      </c>
      <c r="H8" s="71">
        <v>0</v>
      </c>
      <c r="I8" s="71">
        <v>0</v>
      </c>
      <c r="J8" s="71">
        <v>0</v>
      </c>
      <c r="K8" s="71">
        <v>0</v>
      </c>
      <c r="L8" s="71">
        <v>0</v>
      </c>
      <c r="M8" s="71">
        <v>0</v>
      </c>
      <c r="N8" s="71">
        <v>0</v>
      </c>
    </row>
    <row r="9" spans="1:14" ht="11.25">
      <c r="A9" s="51" t="s">
        <v>31</v>
      </c>
      <c r="C9" s="72">
        <f aca="true" t="shared" si="1" ref="C9:N9">+C7*C8</f>
        <v>0</v>
      </c>
      <c r="D9" s="72">
        <f t="shared" si="1"/>
        <v>0</v>
      </c>
      <c r="E9" s="72">
        <f t="shared" si="1"/>
        <v>0</v>
      </c>
      <c r="F9" s="72">
        <f t="shared" si="1"/>
        <v>0</v>
      </c>
      <c r="G9" s="72">
        <f t="shared" si="1"/>
        <v>0</v>
      </c>
      <c r="H9" s="72">
        <f t="shared" si="1"/>
        <v>0</v>
      </c>
      <c r="I9" s="72">
        <f t="shared" si="1"/>
        <v>0</v>
      </c>
      <c r="J9" s="72">
        <f t="shared" si="1"/>
        <v>0</v>
      </c>
      <c r="K9" s="72">
        <f t="shared" si="1"/>
        <v>0</v>
      </c>
      <c r="L9" s="72">
        <f t="shared" si="1"/>
        <v>0</v>
      </c>
      <c r="M9" s="72">
        <f t="shared" si="1"/>
        <v>0</v>
      </c>
      <c r="N9" s="72">
        <f t="shared" si="1"/>
        <v>0</v>
      </c>
    </row>
    <row r="10" spans="1:14" ht="11.25">
      <c r="A10" s="65" t="s">
        <v>32</v>
      </c>
      <c r="C10" s="73">
        <f aca="true" t="shared" si="2" ref="C10:N10">+C7-C9</f>
        <v>87.64</v>
      </c>
      <c r="D10" s="73">
        <f t="shared" si="2"/>
        <v>93.49</v>
      </c>
      <c r="E10" s="73">
        <f t="shared" si="2"/>
        <v>97.62</v>
      </c>
      <c r="F10" s="73">
        <f t="shared" si="2"/>
        <v>82.33</v>
      </c>
      <c r="G10" s="73">
        <f t="shared" si="2"/>
        <v>102.45</v>
      </c>
      <c r="H10" s="73">
        <f t="shared" si="2"/>
        <v>100.72</v>
      </c>
      <c r="I10" s="73">
        <f t="shared" si="2"/>
        <v>88.42</v>
      </c>
      <c r="J10" s="73">
        <f t="shared" si="2"/>
        <v>43.81</v>
      </c>
      <c r="K10" s="73">
        <f t="shared" si="2"/>
        <v>88.72</v>
      </c>
      <c r="L10" s="73">
        <f t="shared" si="2"/>
        <v>75.35</v>
      </c>
      <c r="M10" s="73">
        <f t="shared" si="2"/>
        <v>86.49</v>
      </c>
      <c r="N10" s="73">
        <f t="shared" si="2"/>
        <v>88.25</v>
      </c>
    </row>
    <row r="11" ht="11.25"/>
    <row r="12" ht="11.25">
      <c r="A12" s="65" t="s">
        <v>33</v>
      </c>
    </row>
    <row r="13" spans="2:14" s="74" customFormat="1" ht="11.25">
      <c r="B13" s="74" t="s">
        <v>18</v>
      </c>
      <c r="C13" s="112">
        <v>0.195</v>
      </c>
      <c r="D13" s="112">
        <f>+C13</f>
        <v>0.195</v>
      </c>
      <c r="E13" s="112">
        <f aca="true" t="shared" si="3" ref="E13:N13">+D13</f>
        <v>0.195</v>
      </c>
      <c r="F13" s="112">
        <f t="shared" si="3"/>
        <v>0.195</v>
      </c>
      <c r="G13" s="112">
        <f t="shared" si="3"/>
        <v>0.195</v>
      </c>
      <c r="H13" s="112">
        <f t="shared" si="3"/>
        <v>0.195</v>
      </c>
      <c r="I13" s="112">
        <f t="shared" si="3"/>
        <v>0.195</v>
      </c>
      <c r="J13" s="112">
        <f t="shared" si="3"/>
        <v>0.195</v>
      </c>
      <c r="K13" s="112">
        <f t="shared" si="3"/>
        <v>0.195</v>
      </c>
      <c r="L13" s="112">
        <f t="shared" si="3"/>
        <v>0.195</v>
      </c>
      <c r="M13" s="112">
        <f t="shared" si="3"/>
        <v>0.195</v>
      </c>
      <c r="N13" s="112">
        <f t="shared" si="3"/>
        <v>0.195</v>
      </c>
    </row>
    <row r="14" spans="2:14" s="74" customFormat="1" ht="11.25">
      <c r="B14" s="74" t="s">
        <v>22</v>
      </c>
      <c r="C14" s="112">
        <v>0.1782</v>
      </c>
      <c r="D14" s="112">
        <f aca="true" t="shared" si="4" ref="D14:N23">+C14</f>
        <v>0.1782</v>
      </c>
      <c r="E14" s="112">
        <f t="shared" si="4"/>
        <v>0.1782</v>
      </c>
      <c r="F14" s="112">
        <f t="shared" si="4"/>
        <v>0.1782</v>
      </c>
      <c r="G14" s="112">
        <f t="shared" si="4"/>
        <v>0.1782</v>
      </c>
      <c r="H14" s="112">
        <f t="shared" si="4"/>
        <v>0.1782</v>
      </c>
      <c r="I14" s="112">
        <f t="shared" si="4"/>
        <v>0.1782</v>
      </c>
      <c r="J14" s="112">
        <f t="shared" si="4"/>
        <v>0.1782</v>
      </c>
      <c r="K14" s="112">
        <f t="shared" si="4"/>
        <v>0.1782</v>
      </c>
      <c r="L14" s="112">
        <f t="shared" si="4"/>
        <v>0.1782</v>
      </c>
      <c r="M14" s="112">
        <f t="shared" si="4"/>
        <v>0.1782</v>
      </c>
      <c r="N14" s="112">
        <f t="shared" si="4"/>
        <v>0.1782</v>
      </c>
    </row>
    <row r="15" spans="2:14" s="74" customFormat="1" ht="11.25">
      <c r="B15" s="74" t="s">
        <v>34</v>
      </c>
      <c r="C15" s="112">
        <v>0</v>
      </c>
      <c r="D15" s="112">
        <f t="shared" si="4"/>
        <v>0</v>
      </c>
      <c r="E15" s="112">
        <f t="shared" si="4"/>
        <v>0</v>
      </c>
      <c r="F15" s="112">
        <f t="shared" si="4"/>
        <v>0</v>
      </c>
      <c r="G15" s="112">
        <f t="shared" si="4"/>
        <v>0</v>
      </c>
      <c r="H15" s="112">
        <f t="shared" si="4"/>
        <v>0</v>
      </c>
      <c r="I15" s="112">
        <f t="shared" si="4"/>
        <v>0</v>
      </c>
      <c r="J15" s="112">
        <f t="shared" si="4"/>
        <v>0</v>
      </c>
      <c r="K15" s="112">
        <f t="shared" si="4"/>
        <v>0</v>
      </c>
      <c r="L15" s="112">
        <f t="shared" si="4"/>
        <v>0</v>
      </c>
      <c r="M15" s="112">
        <f t="shared" si="4"/>
        <v>0</v>
      </c>
      <c r="N15" s="112">
        <f t="shared" si="4"/>
        <v>0</v>
      </c>
    </row>
    <row r="16" spans="2:14" s="74" customFormat="1" ht="11.25">
      <c r="B16" s="74" t="s">
        <v>35</v>
      </c>
      <c r="C16" s="112">
        <v>0.0165</v>
      </c>
      <c r="D16" s="112">
        <f t="shared" si="4"/>
        <v>0.0165</v>
      </c>
      <c r="E16" s="112">
        <f t="shared" si="4"/>
        <v>0.0165</v>
      </c>
      <c r="F16" s="112">
        <f t="shared" si="4"/>
        <v>0.0165</v>
      </c>
      <c r="G16" s="112">
        <f t="shared" si="4"/>
        <v>0.0165</v>
      </c>
      <c r="H16" s="112">
        <f t="shared" si="4"/>
        <v>0.0165</v>
      </c>
      <c r="I16" s="112">
        <f t="shared" si="4"/>
        <v>0.0165</v>
      </c>
      <c r="J16" s="112">
        <f t="shared" si="4"/>
        <v>0.0165</v>
      </c>
      <c r="K16" s="112">
        <f t="shared" si="4"/>
        <v>0.0165</v>
      </c>
      <c r="L16" s="112">
        <f t="shared" si="4"/>
        <v>0.0165</v>
      </c>
      <c r="M16" s="112">
        <f t="shared" si="4"/>
        <v>0.0165</v>
      </c>
      <c r="N16" s="112">
        <f t="shared" si="4"/>
        <v>0.0165</v>
      </c>
    </row>
    <row r="17" spans="2:14" s="74" customFormat="1" ht="11.25">
      <c r="B17" s="74" t="s">
        <v>36</v>
      </c>
      <c r="C17" s="112">
        <v>0.0449</v>
      </c>
      <c r="D17" s="112">
        <f t="shared" si="4"/>
        <v>0.0449</v>
      </c>
      <c r="E17" s="112">
        <f t="shared" si="4"/>
        <v>0.0449</v>
      </c>
      <c r="F17" s="112">
        <f t="shared" si="4"/>
        <v>0.0449</v>
      </c>
      <c r="G17" s="112">
        <f t="shared" si="4"/>
        <v>0.0449</v>
      </c>
      <c r="H17" s="112">
        <f t="shared" si="4"/>
        <v>0.0449</v>
      </c>
      <c r="I17" s="112">
        <f t="shared" si="4"/>
        <v>0.0449</v>
      </c>
      <c r="J17" s="112">
        <f t="shared" si="4"/>
        <v>0.0449</v>
      </c>
      <c r="K17" s="112">
        <f t="shared" si="4"/>
        <v>0.0449</v>
      </c>
      <c r="L17" s="112">
        <f t="shared" si="4"/>
        <v>0.0449</v>
      </c>
      <c r="M17" s="112">
        <f t="shared" si="4"/>
        <v>0.0449</v>
      </c>
      <c r="N17" s="112">
        <f t="shared" si="4"/>
        <v>0.0449</v>
      </c>
    </row>
    <row r="18" spans="2:14" s="74" customFormat="1" ht="11.25">
      <c r="B18" s="74" t="s">
        <v>37</v>
      </c>
      <c r="C18" s="112">
        <v>0.0075</v>
      </c>
      <c r="D18" s="112">
        <f t="shared" si="4"/>
        <v>0.0075</v>
      </c>
      <c r="E18" s="112">
        <f t="shared" si="4"/>
        <v>0.0075</v>
      </c>
      <c r="F18" s="112">
        <f t="shared" si="4"/>
        <v>0.0075</v>
      </c>
      <c r="G18" s="112">
        <f t="shared" si="4"/>
        <v>0.0075</v>
      </c>
      <c r="H18" s="112">
        <f t="shared" si="4"/>
        <v>0.0075</v>
      </c>
      <c r="I18" s="112">
        <f t="shared" si="4"/>
        <v>0.0075</v>
      </c>
      <c r="J18" s="112">
        <f t="shared" si="4"/>
        <v>0.0075</v>
      </c>
      <c r="K18" s="112">
        <f t="shared" si="4"/>
        <v>0.0075</v>
      </c>
      <c r="L18" s="112">
        <f t="shared" si="4"/>
        <v>0.0075</v>
      </c>
      <c r="M18" s="112">
        <f t="shared" si="4"/>
        <v>0.0075</v>
      </c>
      <c r="N18" s="112">
        <f t="shared" si="4"/>
        <v>0.0075</v>
      </c>
    </row>
    <row r="19" spans="2:14" s="74" customFormat="1" ht="11.25">
      <c r="B19" s="51" t="s">
        <v>38</v>
      </c>
      <c r="C19" s="112">
        <v>0</v>
      </c>
      <c r="D19" s="112">
        <f t="shared" si="4"/>
        <v>0</v>
      </c>
      <c r="E19" s="112">
        <f t="shared" si="4"/>
        <v>0</v>
      </c>
      <c r="F19" s="112">
        <f t="shared" si="4"/>
        <v>0</v>
      </c>
      <c r="G19" s="112">
        <f t="shared" si="4"/>
        <v>0</v>
      </c>
      <c r="H19" s="112">
        <f t="shared" si="4"/>
        <v>0</v>
      </c>
      <c r="I19" s="112">
        <f t="shared" si="4"/>
        <v>0</v>
      </c>
      <c r="J19" s="112">
        <f t="shared" si="4"/>
        <v>0</v>
      </c>
      <c r="K19" s="112">
        <f t="shared" si="4"/>
        <v>0</v>
      </c>
      <c r="L19" s="112">
        <f t="shared" si="4"/>
        <v>0</v>
      </c>
      <c r="M19" s="112">
        <f t="shared" si="4"/>
        <v>0</v>
      </c>
      <c r="N19" s="112">
        <f t="shared" si="4"/>
        <v>0</v>
      </c>
    </row>
    <row r="20" spans="2:14" s="74" customFormat="1" ht="11.25">
      <c r="B20" s="51" t="s">
        <v>16</v>
      </c>
      <c r="C20" s="112">
        <v>0.1768</v>
      </c>
      <c r="D20" s="112">
        <f t="shared" si="4"/>
        <v>0.1768</v>
      </c>
      <c r="E20" s="112">
        <f t="shared" si="4"/>
        <v>0.1768</v>
      </c>
      <c r="F20" s="112">
        <f t="shared" si="4"/>
        <v>0.1768</v>
      </c>
      <c r="G20" s="112">
        <f t="shared" si="4"/>
        <v>0.1768</v>
      </c>
      <c r="H20" s="112">
        <f t="shared" si="4"/>
        <v>0.1768</v>
      </c>
      <c r="I20" s="112">
        <f t="shared" si="4"/>
        <v>0.1768</v>
      </c>
      <c r="J20" s="112">
        <f t="shared" si="4"/>
        <v>0.1768</v>
      </c>
      <c r="K20" s="112">
        <f t="shared" si="4"/>
        <v>0.1768</v>
      </c>
      <c r="L20" s="112">
        <f t="shared" si="4"/>
        <v>0.1768</v>
      </c>
      <c r="M20" s="112">
        <f t="shared" si="4"/>
        <v>0.1768</v>
      </c>
      <c r="N20" s="112">
        <f t="shared" si="4"/>
        <v>0.1768</v>
      </c>
    </row>
    <row r="21" spans="2:14" s="74" customFormat="1" ht="11.25">
      <c r="B21" s="74" t="s">
        <v>39</v>
      </c>
      <c r="C21" s="112">
        <v>0</v>
      </c>
      <c r="D21" s="112">
        <f t="shared" si="4"/>
        <v>0</v>
      </c>
      <c r="E21" s="112">
        <f t="shared" si="4"/>
        <v>0</v>
      </c>
      <c r="F21" s="112">
        <f t="shared" si="4"/>
        <v>0</v>
      </c>
      <c r="G21" s="112">
        <f t="shared" si="4"/>
        <v>0</v>
      </c>
      <c r="H21" s="112">
        <f t="shared" si="4"/>
        <v>0</v>
      </c>
      <c r="I21" s="112">
        <f t="shared" si="4"/>
        <v>0</v>
      </c>
      <c r="J21" s="112">
        <f t="shared" si="4"/>
        <v>0</v>
      </c>
      <c r="K21" s="112">
        <f t="shared" si="4"/>
        <v>0</v>
      </c>
      <c r="L21" s="112">
        <f t="shared" si="4"/>
        <v>0</v>
      </c>
      <c r="M21" s="112">
        <f t="shared" si="4"/>
        <v>0</v>
      </c>
      <c r="N21" s="112">
        <f t="shared" si="4"/>
        <v>0</v>
      </c>
    </row>
    <row r="22" spans="2:14" s="74" customFormat="1" ht="11.25">
      <c r="B22" s="74" t="s">
        <v>40</v>
      </c>
      <c r="C22" s="112">
        <v>0.05930000000000013</v>
      </c>
      <c r="D22" s="112">
        <f t="shared" si="4"/>
        <v>0.05930000000000013</v>
      </c>
      <c r="E22" s="112">
        <f t="shared" si="4"/>
        <v>0.05930000000000013</v>
      </c>
      <c r="F22" s="112">
        <f t="shared" si="4"/>
        <v>0.05930000000000013</v>
      </c>
      <c r="G22" s="112">
        <f t="shared" si="4"/>
        <v>0.05930000000000013</v>
      </c>
      <c r="H22" s="112">
        <f t="shared" si="4"/>
        <v>0.05930000000000013</v>
      </c>
      <c r="I22" s="112">
        <f t="shared" si="4"/>
        <v>0.05930000000000013</v>
      </c>
      <c r="J22" s="112">
        <f t="shared" si="4"/>
        <v>0.05930000000000013</v>
      </c>
      <c r="K22" s="112">
        <f t="shared" si="4"/>
        <v>0.05930000000000013</v>
      </c>
      <c r="L22" s="112">
        <f t="shared" si="4"/>
        <v>0.05930000000000013</v>
      </c>
      <c r="M22" s="112">
        <f t="shared" si="4"/>
        <v>0.05930000000000013</v>
      </c>
      <c r="N22" s="112">
        <f t="shared" si="4"/>
        <v>0.05930000000000013</v>
      </c>
    </row>
    <row r="23" spans="2:14" s="74" customFormat="1" ht="11.25">
      <c r="B23" s="74" t="s">
        <v>41</v>
      </c>
      <c r="C23" s="113">
        <v>0.3218</v>
      </c>
      <c r="D23" s="112">
        <f t="shared" si="4"/>
        <v>0.3218</v>
      </c>
      <c r="E23" s="112">
        <f t="shared" si="4"/>
        <v>0.3218</v>
      </c>
      <c r="F23" s="112">
        <f t="shared" si="4"/>
        <v>0.3218</v>
      </c>
      <c r="G23" s="112">
        <f t="shared" si="4"/>
        <v>0.3218</v>
      </c>
      <c r="H23" s="112">
        <f t="shared" si="4"/>
        <v>0.3218</v>
      </c>
      <c r="I23" s="112">
        <f t="shared" si="4"/>
        <v>0.3218</v>
      </c>
      <c r="J23" s="112">
        <f t="shared" si="4"/>
        <v>0.3218</v>
      </c>
      <c r="K23" s="112">
        <f t="shared" si="4"/>
        <v>0.3218</v>
      </c>
      <c r="L23" s="112">
        <f t="shared" si="4"/>
        <v>0.3218</v>
      </c>
      <c r="M23" s="112">
        <f t="shared" si="4"/>
        <v>0.3218</v>
      </c>
      <c r="N23" s="112">
        <f t="shared" si="4"/>
        <v>0.3218</v>
      </c>
    </row>
    <row r="24" spans="3:14" ht="11.25">
      <c r="C24" s="75">
        <v>1</v>
      </c>
      <c r="D24" s="75">
        <v>1</v>
      </c>
      <c r="E24" s="75">
        <v>1</v>
      </c>
      <c r="F24" s="75">
        <v>1</v>
      </c>
      <c r="G24" s="75">
        <v>1</v>
      </c>
      <c r="H24" s="75">
        <v>1</v>
      </c>
      <c r="I24" s="75">
        <v>1</v>
      </c>
      <c r="J24" s="75">
        <v>1</v>
      </c>
      <c r="K24" s="75">
        <v>1</v>
      </c>
      <c r="L24" s="75">
        <v>1</v>
      </c>
      <c r="M24" s="75">
        <v>1</v>
      </c>
      <c r="N24" s="75">
        <v>1</v>
      </c>
    </row>
    <row r="25" ht="11.25"/>
    <row r="26" ht="11.25">
      <c r="A26" s="65" t="s">
        <v>42</v>
      </c>
    </row>
    <row r="27" spans="2:14" ht="11.25">
      <c r="B27" s="51" t="s">
        <v>18</v>
      </c>
      <c r="C27" s="61">
        <f aca="true" t="shared" si="5" ref="C27:C37">+C$10*C13</f>
        <v>17.0898</v>
      </c>
      <c r="D27" s="61">
        <f aca="true" t="shared" si="6" ref="D27:N27">+D$10*D13</f>
        <v>18.23055</v>
      </c>
      <c r="E27" s="61">
        <f t="shared" si="6"/>
        <v>19.0359</v>
      </c>
      <c r="F27" s="61">
        <f t="shared" si="6"/>
        <v>16.05435</v>
      </c>
      <c r="G27" s="61">
        <f t="shared" si="6"/>
        <v>19.97775</v>
      </c>
      <c r="H27" s="61">
        <f t="shared" si="6"/>
        <v>19.6404</v>
      </c>
      <c r="I27" s="61">
        <f t="shared" si="6"/>
        <v>17.2419</v>
      </c>
      <c r="J27" s="61">
        <f t="shared" si="6"/>
        <v>8.542950000000001</v>
      </c>
      <c r="K27" s="61">
        <f t="shared" si="6"/>
        <v>17.3004</v>
      </c>
      <c r="L27" s="61">
        <f t="shared" si="6"/>
        <v>14.693249999999999</v>
      </c>
      <c r="M27" s="61">
        <f t="shared" si="6"/>
        <v>16.86555</v>
      </c>
      <c r="N27" s="61">
        <f t="shared" si="6"/>
        <v>17.208750000000002</v>
      </c>
    </row>
    <row r="28" spans="2:14" ht="11.25">
      <c r="B28" s="51" t="s">
        <v>22</v>
      </c>
      <c r="C28" s="61">
        <f t="shared" si="5"/>
        <v>15.617448</v>
      </c>
      <c r="D28" s="61">
        <f aca="true" t="shared" si="7" ref="D28:N28">+D$10*D14</f>
        <v>16.659917999999998</v>
      </c>
      <c r="E28" s="61">
        <f t="shared" si="7"/>
        <v>17.395884</v>
      </c>
      <c r="F28" s="61">
        <f t="shared" si="7"/>
        <v>14.671206</v>
      </c>
      <c r="G28" s="61">
        <f t="shared" si="7"/>
        <v>18.25659</v>
      </c>
      <c r="H28" s="61">
        <f t="shared" si="7"/>
        <v>17.948304</v>
      </c>
      <c r="I28" s="61">
        <f t="shared" si="7"/>
        <v>15.756444</v>
      </c>
      <c r="J28" s="61">
        <f t="shared" si="7"/>
        <v>7.806942</v>
      </c>
      <c r="K28" s="61">
        <f t="shared" si="7"/>
        <v>15.809904</v>
      </c>
      <c r="L28" s="61">
        <f t="shared" si="7"/>
        <v>13.427369999999998</v>
      </c>
      <c r="M28" s="61">
        <f t="shared" si="7"/>
        <v>15.412517999999999</v>
      </c>
      <c r="N28" s="61">
        <f t="shared" si="7"/>
        <v>15.72615</v>
      </c>
    </row>
    <row r="29" spans="2:14" ht="11.25">
      <c r="B29" s="51" t="s">
        <v>34</v>
      </c>
      <c r="C29" s="61">
        <f t="shared" si="5"/>
        <v>0</v>
      </c>
      <c r="D29" s="61">
        <f aca="true" t="shared" si="8" ref="D29:N29">+D$10*D15</f>
        <v>0</v>
      </c>
      <c r="E29" s="61">
        <f t="shared" si="8"/>
        <v>0</v>
      </c>
      <c r="F29" s="61">
        <f t="shared" si="8"/>
        <v>0</v>
      </c>
      <c r="G29" s="61">
        <f t="shared" si="8"/>
        <v>0</v>
      </c>
      <c r="H29" s="61">
        <f t="shared" si="8"/>
        <v>0</v>
      </c>
      <c r="I29" s="61">
        <f t="shared" si="8"/>
        <v>0</v>
      </c>
      <c r="J29" s="61">
        <f t="shared" si="8"/>
        <v>0</v>
      </c>
      <c r="K29" s="61">
        <f t="shared" si="8"/>
        <v>0</v>
      </c>
      <c r="L29" s="61">
        <f t="shared" si="8"/>
        <v>0</v>
      </c>
      <c r="M29" s="61">
        <f t="shared" si="8"/>
        <v>0</v>
      </c>
      <c r="N29" s="61">
        <f t="shared" si="8"/>
        <v>0</v>
      </c>
    </row>
    <row r="30" spans="2:14" ht="11.25">
      <c r="B30" s="51" t="s">
        <v>35</v>
      </c>
      <c r="C30" s="61">
        <f t="shared" si="5"/>
        <v>1.4460600000000001</v>
      </c>
      <c r="D30" s="61">
        <f aca="true" t="shared" si="9" ref="D30:N30">+D$10*D16</f>
        <v>1.542585</v>
      </c>
      <c r="E30" s="61">
        <f t="shared" si="9"/>
        <v>1.6107300000000002</v>
      </c>
      <c r="F30" s="61">
        <f t="shared" si="9"/>
        <v>1.3584450000000001</v>
      </c>
      <c r="G30" s="61">
        <f t="shared" si="9"/>
        <v>1.690425</v>
      </c>
      <c r="H30" s="61">
        <f t="shared" si="9"/>
        <v>1.66188</v>
      </c>
      <c r="I30" s="61">
        <f t="shared" si="9"/>
        <v>1.45893</v>
      </c>
      <c r="J30" s="61">
        <f t="shared" si="9"/>
        <v>0.7228650000000001</v>
      </c>
      <c r="K30" s="61">
        <f t="shared" si="9"/>
        <v>1.46388</v>
      </c>
      <c r="L30" s="61">
        <f t="shared" si="9"/>
        <v>1.243275</v>
      </c>
      <c r="M30" s="61">
        <f t="shared" si="9"/>
        <v>1.427085</v>
      </c>
      <c r="N30" s="61">
        <f t="shared" si="9"/>
        <v>1.4561250000000001</v>
      </c>
    </row>
    <row r="31" spans="2:14" ht="11.25">
      <c r="B31" s="51" t="s">
        <v>36</v>
      </c>
      <c r="C31" s="61">
        <f t="shared" si="5"/>
        <v>3.935036</v>
      </c>
      <c r="D31" s="61">
        <f aca="true" t="shared" si="10" ref="D31:N31">+D$10*D17</f>
        <v>4.197701</v>
      </c>
      <c r="E31" s="61">
        <f t="shared" si="10"/>
        <v>4.383138000000001</v>
      </c>
      <c r="F31" s="61">
        <f t="shared" si="10"/>
        <v>3.6966170000000003</v>
      </c>
      <c r="G31" s="61">
        <f t="shared" si="10"/>
        <v>4.600005</v>
      </c>
      <c r="H31" s="61">
        <f t="shared" si="10"/>
        <v>4.522328</v>
      </c>
      <c r="I31" s="61">
        <f t="shared" si="10"/>
        <v>3.9700580000000003</v>
      </c>
      <c r="J31" s="61">
        <f t="shared" si="10"/>
        <v>1.9670690000000002</v>
      </c>
      <c r="K31" s="61">
        <f t="shared" si="10"/>
        <v>3.983528</v>
      </c>
      <c r="L31" s="61">
        <f t="shared" si="10"/>
        <v>3.383215</v>
      </c>
      <c r="M31" s="61">
        <f t="shared" si="10"/>
        <v>3.883401</v>
      </c>
      <c r="N31" s="61">
        <f t="shared" si="10"/>
        <v>3.962425</v>
      </c>
    </row>
    <row r="32" spans="2:14" ht="11.25">
      <c r="B32" s="51" t="s">
        <v>37</v>
      </c>
      <c r="C32" s="61">
        <f t="shared" si="5"/>
        <v>0.6573</v>
      </c>
      <c r="D32" s="61">
        <f aca="true" t="shared" si="11" ref="D32:N32">+D$10*D18</f>
        <v>0.7011749999999999</v>
      </c>
      <c r="E32" s="61">
        <f t="shared" si="11"/>
        <v>0.73215</v>
      </c>
      <c r="F32" s="61">
        <f t="shared" si="11"/>
        <v>0.617475</v>
      </c>
      <c r="G32" s="61">
        <f t="shared" si="11"/>
        <v>0.768375</v>
      </c>
      <c r="H32" s="61">
        <f t="shared" si="11"/>
        <v>0.7554</v>
      </c>
      <c r="I32" s="61">
        <f t="shared" si="11"/>
        <v>0.66315</v>
      </c>
      <c r="J32" s="61">
        <f t="shared" si="11"/>
        <v>0.328575</v>
      </c>
      <c r="K32" s="61">
        <f t="shared" si="11"/>
        <v>0.6654</v>
      </c>
      <c r="L32" s="61">
        <f t="shared" si="11"/>
        <v>0.565125</v>
      </c>
      <c r="M32" s="61">
        <f t="shared" si="11"/>
        <v>0.6486749999999999</v>
      </c>
      <c r="N32" s="61">
        <f t="shared" si="11"/>
        <v>0.661875</v>
      </c>
    </row>
    <row r="33" spans="2:14" ht="11.25">
      <c r="B33" s="51" t="s">
        <v>38</v>
      </c>
      <c r="C33" s="61">
        <f t="shared" si="5"/>
        <v>0</v>
      </c>
      <c r="D33" s="61">
        <f aca="true" t="shared" si="12" ref="D33:N33">+D$10*D19</f>
        <v>0</v>
      </c>
      <c r="E33" s="61">
        <f t="shared" si="12"/>
        <v>0</v>
      </c>
      <c r="F33" s="61">
        <f t="shared" si="12"/>
        <v>0</v>
      </c>
      <c r="G33" s="61">
        <f t="shared" si="12"/>
        <v>0</v>
      </c>
      <c r="H33" s="61">
        <f t="shared" si="12"/>
        <v>0</v>
      </c>
      <c r="I33" s="61">
        <f t="shared" si="12"/>
        <v>0</v>
      </c>
      <c r="J33" s="61">
        <f t="shared" si="12"/>
        <v>0</v>
      </c>
      <c r="K33" s="61">
        <f t="shared" si="12"/>
        <v>0</v>
      </c>
      <c r="L33" s="61">
        <f t="shared" si="12"/>
        <v>0</v>
      </c>
      <c r="M33" s="61">
        <f t="shared" si="12"/>
        <v>0</v>
      </c>
      <c r="N33" s="61">
        <f t="shared" si="12"/>
        <v>0</v>
      </c>
    </row>
    <row r="34" spans="2:14" ht="11.25">
      <c r="B34" s="51" t="s">
        <v>16</v>
      </c>
      <c r="C34" s="61">
        <f t="shared" si="5"/>
        <v>15.494752000000002</v>
      </c>
      <c r="D34" s="61">
        <f aca="true" t="shared" si="13" ref="D34:N34">+D$10*D20</f>
        <v>16.529032</v>
      </c>
      <c r="E34" s="61">
        <f t="shared" si="13"/>
        <v>17.259216000000002</v>
      </c>
      <c r="F34" s="61">
        <f t="shared" si="13"/>
        <v>14.555944</v>
      </c>
      <c r="G34" s="61">
        <f t="shared" si="13"/>
        <v>18.11316</v>
      </c>
      <c r="H34" s="61">
        <f t="shared" si="13"/>
        <v>17.807296</v>
      </c>
      <c r="I34" s="61">
        <f t="shared" si="13"/>
        <v>15.632656</v>
      </c>
      <c r="J34" s="61">
        <f t="shared" si="13"/>
        <v>7.745608000000001</v>
      </c>
      <c r="K34" s="61">
        <f t="shared" si="13"/>
        <v>15.685696</v>
      </c>
      <c r="L34" s="61">
        <f t="shared" si="13"/>
        <v>13.32188</v>
      </c>
      <c r="M34" s="61">
        <f t="shared" si="13"/>
        <v>15.291432</v>
      </c>
      <c r="N34" s="61">
        <f t="shared" si="13"/>
        <v>15.6026</v>
      </c>
    </row>
    <row r="35" spans="2:14" ht="11.25">
      <c r="B35" s="51" t="s">
        <v>39</v>
      </c>
      <c r="C35" s="61">
        <f t="shared" si="5"/>
        <v>0</v>
      </c>
      <c r="D35" s="61">
        <f aca="true" t="shared" si="14" ref="D35:N35">+D$10*D21</f>
        <v>0</v>
      </c>
      <c r="E35" s="61">
        <f t="shared" si="14"/>
        <v>0</v>
      </c>
      <c r="F35" s="61">
        <f t="shared" si="14"/>
        <v>0</v>
      </c>
      <c r="G35" s="61">
        <f t="shared" si="14"/>
        <v>0</v>
      </c>
      <c r="H35" s="61">
        <f t="shared" si="14"/>
        <v>0</v>
      </c>
      <c r="I35" s="61">
        <f t="shared" si="14"/>
        <v>0</v>
      </c>
      <c r="J35" s="61">
        <f t="shared" si="14"/>
        <v>0</v>
      </c>
      <c r="K35" s="61">
        <f t="shared" si="14"/>
        <v>0</v>
      </c>
      <c r="L35" s="61">
        <f t="shared" si="14"/>
        <v>0</v>
      </c>
      <c r="M35" s="61">
        <f t="shared" si="14"/>
        <v>0</v>
      </c>
      <c r="N35" s="61">
        <f t="shared" si="14"/>
        <v>0</v>
      </c>
    </row>
    <row r="36" spans="2:14" ht="11.25">
      <c r="B36" s="51" t="s">
        <v>40</v>
      </c>
      <c r="C36" s="61">
        <f t="shared" si="5"/>
        <v>5.197052000000012</v>
      </c>
      <c r="D36" s="61">
        <f aca="true" t="shared" si="15" ref="D36:N36">+D$10*D22</f>
        <v>5.543957000000012</v>
      </c>
      <c r="E36" s="61">
        <f t="shared" si="15"/>
        <v>5.788866000000013</v>
      </c>
      <c r="F36" s="61">
        <f t="shared" si="15"/>
        <v>4.882169000000011</v>
      </c>
      <c r="G36" s="61">
        <f t="shared" si="15"/>
        <v>6.075285000000013</v>
      </c>
      <c r="H36" s="61">
        <f t="shared" si="15"/>
        <v>5.972696000000013</v>
      </c>
      <c r="I36" s="61">
        <f t="shared" si="15"/>
        <v>5.243306000000012</v>
      </c>
      <c r="J36" s="61">
        <f t="shared" si="15"/>
        <v>2.597933000000006</v>
      </c>
      <c r="K36" s="61">
        <f t="shared" si="15"/>
        <v>5.261096000000012</v>
      </c>
      <c r="L36" s="61">
        <f t="shared" si="15"/>
        <v>4.46825500000001</v>
      </c>
      <c r="M36" s="61">
        <f t="shared" si="15"/>
        <v>5.128857000000011</v>
      </c>
      <c r="N36" s="61">
        <f t="shared" si="15"/>
        <v>5.233225000000012</v>
      </c>
    </row>
    <row r="37" spans="2:14" ht="11.25">
      <c r="B37" s="51" t="s">
        <v>41</v>
      </c>
      <c r="C37" s="72">
        <f t="shared" si="5"/>
        <v>28.202551999999997</v>
      </c>
      <c r="D37" s="72">
        <f aca="true" t="shared" si="16" ref="D37:N37">+D$10*D23</f>
        <v>30.085081999999996</v>
      </c>
      <c r="E37" s="72">
        <f t="shared" si="16"/>
        <v>31.414116</v>
      </c>
      <c r="F37" s="72">
        <f t="shared" si="16"/>
        <v>26.493793999999998</v>
      </c>
      <c r="G37" s="72">
        <f t="shared" si="16"/>
        <v>32.96841</v>
      </c>
      <c r="H37" s="72">
        <f t="shared" si="16"/>
        <v>32.411696</v>
      </c>
      <c r="I37" s="72">
        <f t="shared" si="16"/>
        <v>28.453556</v>
      </c>
      <c r="J37" s="72">
        <f t="shared" si="16"/>
        <v>14.098058</v>
      </c>
      <c r="K37" s="72">
        <f t="shared" si="16"/>
        <v>28.550095999999996</v>
      </c>
      <c r="L37" s="72">
        <f t="shared" si="16"/>
        <v>24.247629999999997</v>
      </c>
      <c r="M37" s="72">
        <f t="shared" si="16"/>
        <v>27.832481999999995</v>
      </c>
      <c r="N37" s="72">
        <f t="shared" si="16"/>
        <v>28.39885</v>
      </c>
    </row>
    <row r="38" spans="3:14" ht="11.25">
      <c r="C38" s="61">
        <f>SUM(C27:C37)</f>
        <v>87.64000000000001</v>
      </c>
      <c r="D38" s="61">
        <f aca="true" t="shared" si="17" ref="D38:N38">SUM(D27:D37)</f>
        <v>93.49000000000001</v>
      </c>
      <c r="E38" s="61">
        <f t="shared" si="17"/>
        <v>97.62</v>
      </c>
      <c r="F38" s="61">
        <f t="shared" si="17"/>
        <v>82.33000000000001</v>
      </c>
      <c r="G38" s="61">
        <f t="shared" si="17"/>
        <v>102.45000000000002</v>
      </c>
      <c r="H38" s="61">
        <f t="shared" si="17"/>
        <v>100.72000000000003</v>
      </c>
      <c r="I38" s="61">
        <f t="shared" si="17"/>
        <v>88.42000000000002</v>
      </c>
      <c r="J38" s="61">
        <f t="shared" si="17"/>
        <v>43.81</v>
      </c>
      <c r="K38" s="61">
        <f t="shared" si="17"/>
        <v>88.72</v>
      </c>
      <c r="L38" s="61">
        <f t="shared" si="17"/>
        <v>75.35000000000001</v>
      </c>
      <c r="M38" s="61">
        <f t="shared" si="17"/>
        <v>86.49</v>
      </c>
      <c r="N38" s="61">
        <f t="shared" si="17"/>
        <v>88.25000000000001</v>
      </c>
    </row>
    <row r="39" ht="11.25"/>
    <row r="40" ht="11.25">
      <c r="A40" s="65" t="s">
        <v>43</v>
      </c>
    </row>
    <row r="41" spans="2:14" ht="11.25">
      <c r="B41" s="51" t="s">
        <v>18</v>
      </c>
      <c r="C41" s="76">
        <v>1</v>
      </c>
      <c r="D41" s="77">
        <v>1</v>
      </c>
      <c r="E41" s="77">
        <v>1</v>
      </c>
      <c r="F41" s="77">
        <v>1</v>
      </c>
      <c r="G41" s="77">
        <v>1</v>
      </c>
      <c r="H41" s="77">
        <v>1</v>
      </c>
      <c r="I41" s="77">
        <v>1</v>
      </c>
      <c r="J41" s="77">
        <v>1</v>
      </c>
      <c r="K41" s="77">
        <v>1</v>
      </c>
      <c r="L41" s="77">
        <v>1</v>
      </c>
      <c r="M41" s="77">
        <v>1</v>
      </c>
      <c r="N41" s="77">
        <v>1</v>
      </c>
    </row>
    <row r="42" spans="2:14" ht="11.25">
      <c r="B42" s="51" t="s">
        <v>22</v>
      </c>
      <c r="C42" s="76">
        <v>1</v>
      </c>
      <c r="D42" s="77">
        <v>1</v>
      </c>
      <c r="E42" s="77">
        <v>1</v>
      </c>
      <c r="F42" s="77">
        <v>1</v>
      </c>
      <c r="G42" s="77">
        <v>1</v>
      </c>
      <c r="H42" s="77">
        <v>1</v>
      </c>
      <c r="I42" s="77">
        <v>1</v>
      </c>
      <c r="J42" s="77">
        <v>1</v>
      </c>
      <c r="K42" s="77">
        <v>1</v>
      </c>
      <c r="L42" s="77">
        <v>1</v>
      </c>
      <c r="M42" s="77">
        <v>1</v>
      </c>
      <c r="N42" s="77">
        <v>1</v>
      </c>
    </row>
    <row r="43" spans="2:14" ht="9.75">
      <c r="B43" s="51" t="s">
        <v>34</v>
      </c>
      <c r="C43" s="76">
        <v>1</v>
      </c>
      <c r="D43" s="77">
        <v>1</v>
      </c>
      <c r="E43" s="77">
        <v>1</v>
      </c>
      <c r="F43" s="77">
        <v>1</v>
      </c>
      <c r="G43" s="77">
        <v>1</v>
      </c>
      <c r="H43" s="77">
        <v>1</v>
      </c>
      <c r="I43" s="77">
        <v>1</v>
      </c>
      <c r="J43" s="77">
        <v>1</v>
      </c>
      <c r="K43" s="77">
        <v>1</v>
      </c>
      <c r="L43" s="77">
        <v>1</v>
      </c>
      <c r="M43" s="77">
        <v>1</v>
      </c>
      <c r="N43" s="77">
        <v>1</v>
      </c>
    </row>
    <row r="44" spans="2:14" ht="9.75">
      <c r="B44" s="51" t="s">
        <v>35</v>
      </c>
      <c r="C44" s="76">
        <v>1</v>
      </c>
      <c r="D44" s="77">
        <v>1</v>
      </c>
      <c r="E44" s="77">
        <v>1</v>
      </c>
      <c r="F44" s="77">
        <v>1</v>
      </c>
      <c r="G44" s="77">
        <v>1</v>
      </c>
      <c r="H44" s="77">
        <v>1</v>
      </c>
      <c r="I44" s="77">
        <v>1</v>
      </c>
      <c r="J44" s="77">
        <v>1</v>
      </c>
      <c r="K44" s="77">
        <v>1</v>
      </c>
      <c r="L44" s="77">
        <v>1</v>
      </c>
      <c r="M44" s="77">
        <v>1</v>
      </c>
      <c r="N44" s="77">
        <v>1</v>
      </c>
    </row>
    <row r="45" spans="2:14" ht="9.75">
      <c r="B45" s="51" t="s">
        <v>36</v>
      </c>
      <c r="C45" s="76">
        <v>1</v>
      </c>
      <c r="D45" s="77">
        <v>1</v>
      </c>
      <c r="E45" s="77">
        <v>1</v>
      </c>
      <c r="F45" s="77">
        <v>1</v>
      </c>
      <c r="G45" s="77">
        <v>1</v>
      </c>
      <c r="H45" s="77">
        <v>1</v>
      </c>
      <c r="I45" s="77">
        <v>1</v>
      </c>
      <c r="J45" s="77">
        <v>1</v>
      </c>
      <c r="K45" s="77">
        <v>1</v>
      </c>
      <c r="L45" s="77">
        <v>1</v>
      </c>
      <c r="M45" s="77">
        <v>1</v>
      </c>
      <c r="N45" s="77">
        <v>1</v>
      </c>
    </row>
    <row r="46" spans="2:14" ht="9.75">
      <c r="B46" s="51" t="s">
        <v>37</v>
      </c>
      <c r="C46" s="76">
        <v>1</v>
      </c>
      <c r="D46" s="77">
        <v>1</v>
      </c>
      <c r="E46" s="77">
        <v>1</v>
      </c>
      <c r="F46" s="77">
        <v>1</v>
      </c>
      <c r="G46" s="77">
        <v>1</v>
      </c>
      <c r="H46" s="77">
        <v>1</v>
      </c>
      <c r="I46" s="77">
        <v>1</v>
      </c>
      <c r="J46" s="77">
        <v>1</v>
      </c>
      <c r="K46" s="77">
        <v>1</v>
      </c>
      <c r="L46" s="77">
        <v>1</v>
      </c>
      <c r="M46" s="77">
        <v>1</v>
      </c>
      <c r="N46" s="77">
        <v>1</v>
      </c>
    </row>
    <row r="47" spans="2:14" ht="9.75">
      <c r="B47" s="51" t="s">
        <v>38</v>
      </c>
      <c r="C47" s="76">
        <v>1</v>
      </c>
      <c r="D47" s="77">
        <v>1</v>
      </c>
      <c r="E47" s="77">
        <v>1</v>
      </c>
      <c r="F47" s="77">
        <v>1</v>
      </c>
      <c r="G47" s="77">
        <v>1</v>
      </c>
      <c r="H47" s="77">
        <v>1</v>
      </c>
      <c r="I47" s="77">
        <v>1</v>
      </c>
      <c r="J47" s="77">
        <v>1</v>
      </c>
      <c r="K47" s="77">
        <v>1</v>
      </c>
      <c r="L47" s="77">
        <v>1</v>
      </c>
      <c r="M47" s="77">
        <v>1</v>
      </c>
      <c r="N47" s="77">
        <v>1</v>
      </c>
    </row>
    <row r="48" spans="2:14" ht="9.75">
      <c r="B48" s="51" t="s">
        <v>16</v>
      </c>
      <c r="C48" s="76">
        <v>1</v>
      </c>
      <c r="D48" s="77">
        <v>1</v>
      </c>
      <c r="E48" s="77">
        <v>1</v>
      </c>
      <c r="F48" s="77">
        <v>1</v>
      </c>
      <c r="G48" s="77">
        <v>1</v>
      </c>
      <c r="H48" s="77">
        <v>1</v>
      </c>
      <c r="I48" s="77">
        <v>1</v>
      </c>
      <c r="J48" s="77">
        <v>1</v>
      </c>
      <c r="K48" s="77">
        <v>1</v>
      </c>
      <c r="L48" s="77">
        <v>1</v>
      </c>
      <c r="M48" s="77">
        <v>1</v>
      </c>
      <c r="N48" s="77">
        <v>1</v>
      </c>
    </row>
    <row r="49" spans="2:14" ht="9.75">
      <c r="B49" s="51" t="s">
        <v>39</v>
      </c>
      <c r="C49" s="76">
        <v>1</v>
      </c>
      <c r="D49" s="77">
        <v>1</v>
      </c>
      <c r="E49" s="77">
        <v>1</v>
      </c>
      <c r="F49" s="77">
        <v>1</v>
      </c>
      <c r="G49" s="77">
        <v>1</v>
      </c>
      <c r="H49" s="77">
        <v>1</v>
      </c>
      <c r="I49" s="77">
        <v>1</v>
      </c>
      <c r="J49" s="77">
        <v>1</v>
      </c>
      <c r="K49" s="77">
        <v>1</v>
      </c>
      <c r="L49" s="77">
        <v>1</v>
      </c>
      <c r="M49" s="77">
        <v>1</v>
      </c>
      <c r="N49" s="77">
        <v>1</v>
      </c>
    </row>
    <row r="50" spans="2:14" ht="9.75">
      <c r="B50" s="51" t="s">
        <v>40</v>
      </c>
      <c r="C50" s="76">
        <v>1</v>
      </c>
      <c r="D50" s="77">
        <v>1</v>
      </c>
      <c r="E50" s="77">
        <v>1</v>
      </c>
      <c r="F50" s="77">
        <v>1</v>
      </c>
      <c r="G50" s="77">
        <v>1</v>
      </c>
      <c r="H50" s="77">
        <v>1</v>
      </c>
      <c r="I50" s="77">
        <v>1</v>
      </c>
      <c r="J50" s="77">
        <v>1</v>
      </c>
      <c r="K50" s="77">
        <v>1</v>
      </c>
      <c r="L50" s="77">
        <v>1</v>
      </c>
      <c r="M50" s="77">
        <v>1</v>
      </c>
      <c r="N50" s="77">
        <v>1</v>
      </c>
    </row>
    <row r="51" spans="3:21" ht="14.25" customHeight="1">
      <c r="C51" s="75"/>
      <c r="D51" s="77"/>
      <c r="E51" s="77"/>
      <c r="F51" s="77"/>
      <c r="G51" s="77"/>
      <c r="H51" s="77"/>
      <c r="I51" s="77"/>
      <c r="J51" s="77"/>
      <c r="K51" s="77"/>
      <c r="L51" s="77"/>
      <c r="M51" s="77"/>
      <c r="N51" s="77"/>
      <c r="P51" s="42"/>
      <c r="Q51" s="151"/>
      <c r="R51" s="43"/>
      <c r="S51" s="43"/>
      <c r="T51" s="43"/>
      <c r="U51" s="43"/>
    </row>
    <row r="52" spans="1:20" ht="12.75">
      <c r="A52" s="51" t="s">
        <v>41</v>
      </c>
      <c r="C52" s="75">
        <f>+C65/C37</f>
        <v>0.9999999999999994</v>
      </c>
      <c r="D52" s="77">
        <v>1</v>
      </c>
      <c r="E52" s="77">
        <v>1</v>
      </c>
      <c r="F52" s="77">
        <v>1</v>
      </c>
      <c r="G52" s="77">
        <v>1</v>
      </c>
      <c r="H52" s="77">
        <v>1</v>
      </c>
      <c r="I52" s="77">
        <v>1</v>
      </c>
      <c r="J52" s="77">
        <v>1</v>
      </c>
      <c r="K52" s="77">
        <v>1</v>
      </c>
      <c r="L52" s="77">
        <v>1</v>
      </c>
      <c r="M52" s="77">
        <v>1</v>
      </c>
      <c r="N52" s="77">
        <v>1</v>
      </c>
      <c r="P52" s="43"/>
      <c r="Q52" s="152"/>
      <c r="R52" s="152"/>
      <c r="S52" s="152"/>
      <c r="T52" s="152"/>
    </row>
    <row r="53" spans="12:20" ht="12.75">
      <c r="L53" s="75"/>
      <c r="N53" s="77"/>
      <c r="P53" s="43"/>
      <c r="Q53" s="152"/>
      <c r="R53" s="152"/>
      <c r="S53" s="152"/>
      <c r="T53" s="152"/>
    </row>
    <row r="54" spans="1:20" ht="12.75">
      <c r="A54" s="65" t="s">
        <v>44</v>
      </c>
      <c r="L54" s="75"/>
      <c r="N54" s="77"/>
      <c r="P54" s="43"/>
      <c r="Q54" s="152"/>
      <c r="R54" s="152"/>
      <c r="S54" s="152"/>
      <c r="T54" s="152"/>
    </row>
    <row r="55" spans="2:20" ht="12.75">
      <c r="B55" s="51" t="s">
        <v>18</v>
      </c>
      <c r="C55" s="61">
        <f>+C27*C41</f>
        <v>17.0898</v>
      </c>
      <c r="D55" s="61">
        <f aca="true" t="shared" si="18" ref="D55:N55">+D27*D41</f>
        <v>18.23055</v>
      </c>
      <c r="E55" s="61">
        <f t="shared" si="18"/>
        <v>19.0359</v>
      </c>
      <c r="F55" s="61">
        <f t="shared" si="18"/>
        <v>16.05435</v>
      </c>
      <c r="G55" s="61">
        <f t="shared" si="18"/>
        <v>19.97775</v>
      </c>
      <c r="H55" s="61">
        <f t="shared" si="18"/>
        <v>19.6404</v>
      </c>
      <c r="I55" s="61">
        <f t="shared" si="18"/>
        <v>17.2419</v>
      </c>
      <c r="J55" s="61">
        <f t="shared" si="18"/>
        <v>8.542950000000001</v>
      </c>
      <c r="K55" s="61">
        <f t="shared" si="18"/>
        <v>17.3004</v>
      </c>
      <c r="L55" s="61">
        <f t="shared" si="18"/>
        <v>14.693249999999999</v>
      </c>
      <c r="M55" s="61">
        <f t="shared" si="18"/>
        <v>16.86555</v>
      </c>
      <c r="N55" s="61">
        <f t="shared" si="18"/>
        <v>17.208750000000002</v>
      </c>
      <c r="P55" s="43"/>
      <c r="Q55" s="152"/>
      <c r="R55" s="152"/>
      <c r="S55" s="152"/>
      <c r="T55" s="152"/>
    </row>
    <row r="56" spans="2:20" ht="12.75">
      <c r="B56" s="51" t="s">
        <v>22</v>
      </c>
      <c r="C56" s="61">
        <f aca="true" t="shared" si="19" ref="C56:N56">+C28*C42</f>
        <v>15.617448</v>
      </c>
      <c r="D56" s="61">
        <f t="shared" si="19"/>
        <v>16.659917999999998</v>
      </c>
      <c r="E56" s="61">
        <f t="shared" si="19"/>
        <v>17.395884</v>
      </c>
      <c r="F56" s="61">
        <f t="shared" si="19"/>
        <v>14.671206</v>
      </c>
      <c r="G56" s="61">
        <f t="shared" si="19"/>
        <v>18.25659</v>
      </c>
      <c r="H56" s="61">
        <f t="shared" si="19"/>
        <v>17.948304</v>
      </c>
      <c r="I56" s="61">
        <f t="shared" si="19"/>
        <v>15.756444</v>
      </c>
      <c r="J56" s="61">
        <f t="shared" si="19"/>
        <v>7.806942</v>
      </c>
      <c r="K56" s="61">
        <f t="shared" si="19"/>
        <v>15.809904</v>
      </c>
      <c r="L56" s="61">
        <f t="shared" si="19"/>
        <v>13.427369999999998</v>
      </c>
      <c r="M56" s="61">
        <f t="shared" si="19"/>
        <v>15.412517999999999</v>
      </c>
      <c r="N56" s="61">
        <f t="shared" si="19"/>
        <v>15.72615</v>
      </c>
      <c r="P56" s="43"/>
      <c r="Q56" s="152"/>
      <c r="R56" s="152"/>
      <c r="S56" s="152"/>
      <c r="T56" s="152"/>
    </row>
    <row r="57" spans="2:20" ht="12.75">
      <c r="B57" s="51" t="s">
        <v>34</v>
      </c>
      <c r="C57" s="61">
        <f aca="true" t="shared" si="20" ref="C57:N57">+C29*C43</f>
        <v>0</v>
      </c>
      <c r="D57" s="61">
        <f t="shared" si="20"/>
        <v>0</v>
      </c>
      <c r="E57" s="61">
        <f t="shared" si="20"/>
        <v>0</v>
      </c>
      <c r="F57" s="61">
        <f t="shared" si="20"/>
        <v>0</v>
      </c>
      <c r="G57" s="61">
        <f t="shared" si="20"/>
        <v>0</v>
      </c>
      <c r="H57" s="61">
        <f t="shared" si="20"/>
        <v>0</v>
      </c>
      <c r="I57" s="61">
        <f t="shared" si="20"/>
        <v>0</v>
      </c>
      <c r="J57" s="61">
        <f t="shared" si="20"/>
        <v>0</v>
      </c>
      <c r="K57" s="61">
        <f t="shared" si="20"/>
        <v>0</v>
      </c>
      <c r="L57" s="61">
        <f t="shared" si="20"/>
        <v>0</v>
      </c>
      <c r="M57" s="61">
        <f t="shared" si="20"/>
        <v>0</v>
      </c>
      <c r="N57" s="61">
        <f t="shared" si="20"/>
        <v>0</v>
      </c>
      <c r="P57" s="43"/>
      <c r="Q57" s="152"/>
      <c r="R57" s="152"/>
      <c r="S57" s="152"/>
      <c r="T57" s="152"/>
    </row>
    <row r="58" spans="2:20" ht="12.75">
      <c r="B58" s="51" t="s">
        <v>35</v>
      </c>
      <c r="C58" s="61">
        <f aca="true" t="shared" si="21" ref="C58:N58">+C30*C44</f>
        <v>1.4460600000000001</v>
      </c>
      <c r="D58" s="61">
        <f t="shared" si="21"/>
        <v>1.542585</v>
      </c>
      <c r="E58" s="61">
        <f t="shared" si="21"/>
        <v>1.6107300000000002</v>
      </c>
      <c r="F58" s="61">
        <f t="shared" si="21"/>
        <v>1.3584450000000001</v>
      </c>
      <c r="G58" s="61">
        <f t="shared" si="21"/>
        <v>1.690425</v>
      </c>
      <c r="H58" s="61">
        <f t="shared" si="21"/>
        <v>1.66188</v>
      </c>
      <c r="I58" s="61">
        <f t="shared" si="21"/>
        <v>1.45893</v>
      </c>
      <c r="J58" s="61">
        <f t="shared" si="21"/>
        <v>0.7228650000000001</v>
      </c>
      <c r="K58" s="61">
        <f t="shared" si="21"/>
        <v>1.46388</v>
      </c>
      <c r="L58" s="61">
        <f t="shared" si="21"/>
        <v>1.243275</v>
      </c>
      <c r="M58" s="61">
        <f t="shared" si="21"/>
        <v>1.427085</v>
      </c>
      <c r="N58" s="61">
        <f t="shared" si="21"/>
        <v>1.4561250000000001</v>
      </c>
      <c r="P58" s="43"/>
      <c r="Q58" s="152"/>
      <c r="R58" s="152"/>
      <c r="S58" s="152"/>
      <c r="T58" s="152"/>
    </row>
    <row r="59" spans="2:20" ht="12.75">
      <c r="B59" s="51" t="s">
        <v>36</v>
      </c>
      <c r="C59" s="61">
        <f aca="true" t="shared" si="22" ref="C59:N59">+C31*C45</f>
        <v>3.935036</v>
      </c>
      <c r="D59" s="61">
        <f t="shared" si="22"/>
        <v>4.197701</v>
      </c>
      <c r="E59" s="61">
        <f t="shared" si="22"/>
        <v>4.383138000000001</v>
      </c>
      <c r="F59" s="61">
        <f t="shared" si="22"/>
        <v>3.6966170000000003</v>
      </c>
      <c r="G59" s="61">
        <f t="shared" si="22"/>
        <v>4.600005</v>
      </c>
      <c r="H59" s="61">
        <f t="shared" si="22"/>
        <v>4.522328</v>
      </c>
      <c r="I59" s="61">
        <f t="shared" si="22"/>
        <v>3.9700580000000003</v>
      </c>
      <c r="J59" s="61">
        <f t="shared" si="22"/>
        <v>1.9670690000000002</v>
      </c>
      <c r="K59" s="61">
        <f t="shared" si="22"/>
        <v>3.983528</v>
      </c>
      <c r="L59" s="61">
        <f t="shared" si="22"/>
        <v>3.383215</v>
      </c>
      <c r="M59" s="61">
        <f t="shared" si="22"/>
        <v>3.883401</v>
      </c>
      <c r="N59" s="61">
        <f t="shared" si="22"/>
        <v>3.962425</v>
      </c>
      <c r="P59" s="43"/>
      <c r="Q59" s="152"/>
      <c r="R59" s="152"/>
      <c r="S59" s="152"/>
      <c r="T59" s="152"/>
    </row>
    <row r="60" spans="2:14" ht="9.75">
      <c r="B60" s="51" t="s">
        <v>37</v>
      </c>
      <c r="C60" s="78">
        <f aca="true" t="shared" si="23" ref="C60:N60">+C32*C46</f>
        <v>0.6573</v>
      </c>
      <c r="D60" s="78">
        <f t="shared" si="23"/>
        <v>0.7011749999999999</v>
      </c>
      <c r="E60" s="78">
        <f t="shared" si="23"/>
        <v>0.73215</v>
      </c>
      <c r="F60" s="78">
        <f t="shared" si="23"/>
        <v>0.617475</v>
      </c>
      <c r="G60" s="78">
        <f t="shared" si="23"/>
        <v>0.768375</v>
      </c>
      <c r="H60" s="78">
        <f t="shared" si="23"/>
        <v>0.7554</v>
      </c>
      <c r="I60" s="78">
        <f t="shared" si="23"/>
        <v>0.66315</v>
      </c>
      <c r="J60" s="78">
        <f t="shared" si="23"/>
        <v>0.328575</v>
      </c>
      <c r="K60" s="78">
        <f t="shared" si="23"/>
        <v>0.6654</v>
      </c>
      <c r="L60" s="78">
        <f t="shared" si="23"/>
        <v>0.565125</v>
      </c>
      <c r="M60" s="78">
        <f t="shared" si="23"/>
        <v>0.6486749999999999</v>
      </c>
      <c r="N60" s="78">
        <f t="shared" si="23"/>
        <v>0.661875</v>
      </c>
    </row>
    <row r="61" spans="2:14" ht="9.75">
      <c r="B61" s="51" t="s">
        <v>38</v>
      </c>
      <c r="C61" s="61">
        <f aca="true" t="shared" si="24" ref="C61:N61">+C33*C47</f>
        <v>0</v>
      </c>
      <c r="D61" s="61">
        <f t="shared" si="24"/>
        <v>0</v>
      </c>
      <c r="E61" s="61">
        <f t="shared" si="24"/>
        <v>0</v>
      </c>
      <c r="F61" s="61">
        <f t="shared" si="24"/>
        <v>0</v>
      </c>
      <c r="G61" s="61">
        <f t="shared" si="24"/>
        <v>0</v>
      </c>
      <c r="H61" s="61">
        <f t="shared" si="24"/>
        <v>0</v>
      </c>
      <c r="I61" s="61">
        <f t="shared" si="24"/>
        <v>0</v>
      </c>
      <c r="J61" s="61">
        <f t="shared" si="24"/>
        <v>0</v>
      </c>
      <c r="K61" s="61">
        <f t="shared" si="24"/>
        <v>0</v>
      </c>
      <c r="L61" s="61">
        <f t="shared" si="24"/>
        <v>0</v>
      </c>
      <c r="M61" s="61">
        <f t="shared" si="24"/>
        <v>0</v>
      </c>
      <c r="N61" s="61">
        <f t="shared" si="24"/>
        <v>0</v>
      </c>
    </row>
    <row r="62" spans="2:14" ht="9.75">
      <c r="B62" s="51" t="s">
        <v>31</v>
      </c>
      <c r="C62" s="61">
        <f aca="true" t="shared" si="25" ref="C62:N62">+C34*C48</f>
        <v>15.494752000000002</v>
      </c>
      <c r="D62" s="61">
        <f t="shared" si="25"/>
        <v>16.529032</v>
      </c>
      <c r="E62" s="61">
        <f t="shared" si="25"/>
        <v>17.259216000000002</v>
      </c>
      <c r="F62" s="61">
        <f t="shared" si="25"/>
        <v>14.555944</v>
      </c>
      <c r="G62" s="61">
        <f t="shared" si="25"/>
        <v>18.11316</v>
      </c>
      <c r="H62" s="61">
        <f t="shared" si="25"/>
        <v>17.807296</v>
      </c>
      <c r="I62" s="61">
        <f t="shared" si="25"/>
        <v>15.632656</v>
      </c>
      <c r="J62" s="61">
        <f t="shared" si="25"/>
        <v>7.745608000000001</v>
      </c>
      <c r="K62" s="61">
        <f t="shared" si="25"/>
        <v>15.685696</v>
      </c>
      <c r="L62" s="61">
        <f t="shared" si="25"/>
        <v>13.32188</v>
      </c>
      <c r="M62" s="61">
        <f t="shared" si="25"/>
        <v>15.291432</v>
      </c>
      <c r="N62" s="61">
        <f t="shared" si="25"/>
        <v>15.6026</v>
      </c>
    </row>
    <row r="63" spans="2:14" ht="9.75">
      <c r="B63" s="51" t="s">
        <v>39</v>
      </c>
      <c r="C63" s="61">
        <f aca="true" t="shared" si="26" ref="C63:N63">+C35*C49</f>
        <v>0</v>
      </c>
      <c r="D63" s="61">
        <f t="shared" si="26"/>
        <v>0</v>
      </c>
      <c r="E63" s="61">
        <f t="shared" si="26"/>
        <v>0</v>
      </c>
      <c r="F63" s="61">
        <f t="shared" si="26"/>
        <v>0</v>
      </c>
      <c r="G63" s="61">
        <f t="shared" si="26"/>
        <v>0</v>
      </c>
      <c r="H63" s="61">
        <f t="shared" si="26"/>
        <v>0</v>
      </c>
      <c r="I63" s="61">
        <f t="shared" si="26"/>
        <v>0</v>
      </c>
      <c r="J63" s="61">
        <f t="shared" si="26"/>
        <v>0</v>
      </c>
      <c r="K63" s="61">
        <f t="shared" si="26"/>
        <v>0</v>
      </c>
      <c r="L63" s="61">
        <f t="shared" si="26"/>
        <v>0</v>
      </c>
      <c r="M63" s="61">
        <f t="shared" si="26"/>
        <v>0</v>
      </c>
      <c r="N63" s="61">
        <f t="shared" si="26"/>
        <v>0</v>
      </c>
    </row>
    <row r="64" spans="2:14" ht="9.75">
      <c r="B64" s="51" t="s">
        <v>40</v>
      </c>
      <c r="C64" s="61">
        <f aca="true" t="shared" si="27" ref="C64:N64">+C36*C50</f>
        <v>5.197052000000012</v>
      </c>
      <c r="D64" s="61">
        <f t="shared" si="27"/>
        <v>5.543957000000012</v>
      </c>
      <c r="E64" s="61">
        <f t="shared" si="27"/>
        <v>5.788866000000013</v>
      </c>
      <c r="F64" s="61">
        <f t="shared" si="27"/>
        <v>4.882169000000011</v>
      </c>
      <c r="G64" s="61">
        <f t="shared" si="27"/>
        <v>6.075285000000013</v>
      </c>
      <c r="H64" s="61">
        <f t="shared" si="27"/>
        <v>5.972696000000013</v>
      </c>
      <c r="I64" s="61">
        <f t="shared" si="27"/>
        <v>5.243306000000012</v>
      </c>
      <c r="J64" s="61">
        <f t="shared" si="27"/>
        <v>2.597933000000006</v>
      </c>
      <c r="K64" s="61">
        <f t="shared" si="27"/>
        <v>5.261096000000012</v>
      </c>
      <c r="L64" s="61">
        <f t="shared" si="27"/>
        <v>4.46825500000001</v>
      </c>
      <c r="M64" s="61">
        <f t="shared" si="27"/>
        <v>5.128857000000011</v>
      </c>
      <c r="N64" s="61">
        <f t="shared" si="27"/>
        <v>5.233225000000012</v>
      </c>
    </row>
    <row r="65" spans="2:14" ht="9.75">
      <c r="B65" s="51" t="s">
        <v>41</v>
      </c>
      <c r="C65" s="72">
        <f aca="true" t="shared" si="28" ref="C65:N65">+C7-SUM(C55:C64)</f>
        <v>28.202551999999983</v>
      </c>
      <c r="D65" s="72">
        <f t="shared" si="28"/>
        <v>30.08508199999998</v>
      </c>
      <c r="E65" s="72">
        <f t="shared" si="28"/>
        <v>31.414115999999993</v>
      </c>
      <c r="F65" s="72">
        <f t="shared" si="28"/>
        <v>26.493793999999987</v>
      </c>
      <c r="G65" s="72">
        <f t="shared" si="28"/>
        <v>32.96840999999999</v>
      </c>
      <c r="H65" s="72">
        <f t="shared" si="28"/>
        <v>32.41169599999998</v>
      </c>
      <c r="I65" s="72">
        <f t="shared" si="28"/>
        <v>28.453555999999985</v>
      </c>
      <c r="J65" s="72">
        <f t="shared" si="28"/>
        <v>14.098057999999998</v>
      </c>
      <c r="K65" s="72">
        <f t="shared" si="28"/>
        <v>28.55009599999999</v>
      </c>
      <c r="L65" s="72">
        <f t="shared" si="28"/>
        <v>24.247629999999987</v>
      </c>
      <c r="M65" s="72">
        <f t="shared" si="28"/>
        <v>27.83248199999999</v>
      </c>
      <c r="N65" s="72">
        <f t="shared" si="28"/>
        <v>28.39884999999998</v>
      </c>
    </row>
    <row r="66" spans="3:14" ht="9.75">
      <c r="C66" s="61">
        <f aca="true" t="shared" si="29" ref="C66:N66">SUM(C55:C65)</f>
        <v>87.64</v>
      </c>
      <c r="D66" s="61">
        <f t="shared" si="29"/>
        <v>93.49</v>
      </c>
      <c r="E66" s="61">
        <f t="shared" si="29"/>
        <v>97.62</v>
      </c>
      <c r="F66" s="61">
        <f t="shared" si="29"/>
        <v>82.33</v>
      </c>
      <c r="G66" s="61">
        <f t="shared" si="29"/>
        <v>102.45</v>
      </c>
      <c r="H66" s="61">
        <f t="shared" si="29"/>
        <v>100.72</v>
      </c>
      <c r="I66" s="61">
        <f t="shared" si="29"/>
        <v>88.42</v>
      </c>
      <c r="J66" s="61">
        <f t="shared" si="29"/>
        <v>43.81</v>
      </c>
      <c r="K66" s="61">
        <f t="shared" si="29"/>
        <v>88.72</v>
      </c>
      <c r="L66" s="61">
        <f t="shared" si="29"/>
        <v>75.35</v>
      </c>
      <c r="M66" s="61">
        <f t="shared" si="29"/>
        <v>86.49</v>
      </c>
      <c r="N66" s="61">
        <f t="shared" si="29"/>
        <v>88.25</v>
      </c>
    </row>
    <row r="67" ht="7.5" customHeight="1"/>
    <row r="68" spans="1:5" ht="9.75">
      <c r="A68" s="79" t="s">
        <v>45</v>
      </c>
      <c r="E68" s="51" t="s">
        <v>70</v>
      </c>
    </row>
    <row r="69" spans="2:14" ht="9.75">
      <c r="B69" s="51" t="s">
        <v>18</v>
      </c>
      <c r="C69" s="114">
        <v>75.1</v>
      </c>
      <c r="D69" s="114">
        <v>73.84</v>
      </c>
      <c r="E69" s="114">
        <v>74.45</v>
      </c>
      <c r="F69" s="114">
        <v>73.7</v>
      </c>
      <c r="G69" s="153">
        <v>67.00399999999999</v>
      </c>
      <c r="H69" s="114">
        <v>68.453</v>
      </c>
      <c r="I69" s="114">
        <v>63.75599999999999</v>
      </c>
      <c r="J69" s="114">
        <v>60.78099999999999</v>
      </c>
      <c r="K69" s="114">
        <v>59.101</v>
      </c>
      <c r="L69" s="114">
        <v>58.51999999999999</v>
      </c>
      <c r="M69" s="114">
        <v>59.919999999999995</v>
      </c>
      <c r="N69" s="114">
        <v>61.285</v>
      </c>
    </row>
    <row r="70" spans="2:14" ht="9.75">
      <c r="B70" s="51" t="s">
        <v>22</v>
      </c>
      <c r="C70" s="114">
        <v>99.54</v>
      </c>
      <c r="D70" s="114">
        <v>95.65</v>
      </c>
      <c r="E70" s="114">
        <v>101.64</v>
      </c>
      <c r="F70" s="114">
        <v>98.99</v>
      </c>
      <c r="G70" s="153">
        <v>91.476</v>
      </c>
      <c r="H70" s="114">
        <v>95.333</v>
      </c>
      <c r="I70" s="114">
        <v>93.1</v>
      </c>
      <c r="J70" s="114">
        <v>88.648</v>
      </c>
      <c r="K70" s="114">
        <v>85.645</v>
      </c>
      <c r="L70" s="114">
        <v>73.444</v>
      </c>
      <c r="M70" s="114">
        <v>71.743</v>
      </c>
      <c r="N70" s="114">
        <v>80.04499999999999</v>
      </c>
    </row>
    <row r="71" spans="2:14" ht="9.75">
      <c r="B71" s="51" t="s">
        <v>34</v>
      </c>
      <c r="C71" s="153">
        <v>0</v>
      </c>
      <c r="D71" s="153">
        <v>0</v>
      </c>
      <c r="E71" s="153">
        <v>0</v>
      </c>
      <c r="F71" s="153">
        <v>0</v>
      </c>
      <c r="G71" s="153">
        <v>0</v>
      </c>
      <c r="H71" s="114">
        <v>0</v>
      </c>
      <c r="I71" s="114">
        <v>0</v>
      </c>
      <c r="J71" s="114">
        <v>0</v>
      </c>
      <c r="K71" s="114"/>
      <c r="L71" s="114"/>
      <c r="M71" s="114"/>
      <c r="N71" s="114"/>
    </row>
    <row r="72" spans="2:14" ht="9.75">
      <c r="B72" s="51" t="s">
        <v>35</v>
      </c>
      <c r="C72" s="114">
        <v>80.19</v>
      </c>
      <c r="D72" s="114">
        <v>74.19</v>
      </c>
      <c r="E72" s="114">
        <v>73.75</v>
      </c>
      <c r="F72" s="114">
        <v>73.26</v>
      </c>
      <c r="G72" s="153">
        <v>76.70599999999999</v>
      </c>
      <c r="H72" s="114">
        <v>61.949999999999996</v>
      </c>
      <c r="I72" s="114">
        <v>52.857</v>
      </c>
      <c r="J72" s="114">
        <v>53.297999999999995</v>
      </c>
      <c r="K72" s="114">
        <v>53.025</v>
      </c>
      <c r="L72" s="114">
        <v>39.095</v>
      </c>
      <c r="M72" s="114">
        <v>39.753</v>
      </c>
      <c r="N72" s="114">
        <v>39.269999999999996</v>
      </c>
    </row>
    <row r="73" spans="2:14" ht="9.75">
      <c r="B73" s="51" t="s">
        <v>36</v>
      </c>
      <c r="C73" s="114">
        <v>189.09</v>
      </c>
      <c r="D73" s="114">
        <v>190.61</v>
      </c>
      <c r="E73" s="114">
        <v>213.81</v>
      </c>
      <c r="F73" s="114">
        <v>216.37</v>
      </c>
      <c r="G73" s="153">
        <v>238.16799999999998</v>
      </c>
      <c r="H73" s="114">
        <v>230.12499999999997</v>
      </c>
      <c r="I73" s="114">
        <v>209.377</v>
      </c>
      <c r="J73" s="114">
        <v>171.57</v>
      </c>
      <c r="K73" s="114">
        <v>130.49399999999997</v>
      </c>
      <c r="L73" s="114">
        <v>104.237</v>
      </c>
      <c r="M73" s="114">
        <v>119.26599999999999</v>
      </c>
      <c r="N73" s="114">
        <v>143.15699999999998</v>
      </c>
    </row>
    <row r="74" spans="2:14" ht="9.75">
      <c r="B74" s="51" t="s">
        <v>37</v>
      </c>
      <c r="C74" s="114">
        <v>1078.01</v>
      </c>
      <c r="D74" s="114">
        <v>1048.72</v>
      </c>
      <c r="E74" s="114">
        <v>1082.54</v>
      </c>
      <c r="F74" s="114">
        <v>1138.19</v>
      </c>
      <c r="G74" s="153">
        <v>1150.8559999999998</v>
      </c>
      <c r="H74" s="114">
        <v>1124.487</v>
      </c>
      <c r="I74" s="114">
        <v>1232</v>
      </c>
      <c r="J74" s="114">
        <v>1190</v>
      </c>
      <c r="K74" s="114">
        <v>1106</v>
      </c>
      <c r="L74" s="114">
        <v>1095.4089999999999</v>
      </c>
      <c r="M74" s="114">
        <v>1041.194</v>
      </c>
      <c r="N74" s="114">
        <v>970.333</v>
      </c>
    </row>
    <row r="75" spans="2:14" ht="9.75">
      <c r="B75" s="51" t="s">
        <v>38</v>
      </c>
      <c r="C75" s="153">
        <v>0</v>
      </c>
      <c r="D75" s="153">
        <v>0</v>
      </c>
      <c r="E75" s="153">
        <v>0</v>
      </c>
      <c r="F75" s="153">
        <v>0</v>
      </c>
      <c r="G75" s="153">
        <v>0</v>
      </c>
      <c r="H75" s="114">
        <v>0</v>
      </c>
      <c r="I75" s="114">
        <v>0</v>
      </c>
      <c r="J75" s="114">
        <v>0</v>
      </c>
      <c r="K75" s="114"/>
      <c r="L75" s="114"/>
      <c r="M75" s="114"/>
      <c r="N75" s="114"/>
    </row>
    <row r="76" spans="2:14" ht="9.75">
      <c r="B76" s="51" t="s">
        <v>31</v>
      </c>
      <c r="C76" s="114">
        <v>-15.18</v>
      </c>
      <c r="D76" s="114">
        <v>-6.98</v>
      </c>
      <c r="E76" s="114">
        <v>-7.6</v>
      </c>
      <c r="F76" s="114">
        <v>-8.71</v>
      </c>
      <c r="G76" s="153">
        <v>2.6</v>
      </c>
      <c r="H76" s="114">
        <v>0.9939999999999999</v>
      </c>
      <c r="I76" s="114">
        <v>-2.9539999999999997</v>
      </c>
      <c r="J76" s="114">
        <v>-4.7669999999999995</v>
      </c>
      <c r="K76" s="114">
        <v>-3.9339999999999997</v>
      </c>
      <c r="L76" s="114">
        <v>-9.113999999999999</v>
      </c>
      <c r="M76" s="114">
        <v>-5.194</v>
      </c>
      <c r="N76" s="114">
        <v>-13.93</v>
      </c>
    </row>
    <row r="77" spans="2:14" ht="9.75">
      <c r="B77" s="51" t="s">
        <v>39</v>
      </c>
      <c r="C77" s="114">
        <v>-120.17</v>
      </c>
      <c r="D77" s="114">
        <v>-120.17</v>
      </c>
      <c r="E77" s="114">
        <v>-120.17</v>
      </c>
      <c r="F77" s="114">
        <v>-120.17</v>
      </c>
      <c r="G77" s="153">
        <v>-120.17</v>
      </c>
      <c r="H77" s="114">
        <v>-120.17</v>
      </c>
      <c r="I77" s="114">
        <v>-120.17</v>
      </c>
      <c r="J77" s="114">
        <v>-120.17</v>
      </c>
      <c r="K77" s="114">
        <v>-120.17</v>
      </c>
      <c r="L77" s="114">
        <v>-120.17</v>
      </c>
      <c r="M77" s="114">
        <v>-120.17</v>
      </c>
      <c r="N77" s="114">
        <v>-120.17</v>
      </c>
    </row>
    <row r="78" spans="2:14" ht="9.75">
      <c r="B78" s="51" t="s">
        <v>40</v>
      </c>
      <c r="C78" s="114">
        <v>-120.17</v>
      </c>
      <c r="D78" s="114">
        <v>-120.17</v>
      </c>
      <c r="E78" s="114">
        <v>-120.17</v>
      </c>
      <c r="F78" s="114">
        <v>-120.17</v>
      </c>
      <c r="G78" s="153">
        <v>-120.17</v>
      </c>
      <c r="H78" s="114">
        <v>-120.17</v>
      </c>
      <c r="I78" s="114">
        <v>-120.17</v>
      </c>
      <c r="J78" s="114">
        <v>-120.17</v>
      </c>
      <c r="K78" s="114">
        <v>-120.17</v>
      </c>
      <c r="L78" s="114">
        <v>-120.17</v>
      </c>
      <c r="M78" s="114">
        <v>-120.17</v>
      </c>
      <c r="N78" s="114">
        <v>-120.17</v>
      </c>
    </row>
    <row r="79" spans="2:15" ht="9.75">
      <c r="B79" s="51" t="s">
        <v>41</v>
      </c>
      <c r="C79" s="114">
        <v>70.07</v>
      </c>
      <c r="D79" s="114">
        <v>68.36</v>
      </c>
      <c r="E79" s="114">
        <v>68.42</v>
      </c>
      <c r="F79" s="114">
        <v>68.02</v>
      </c>
      <c r="G79" s="153">
        <v>62.811</v>
      </c>
      <c r="H79" s="114">
        <v>60.71799999999999</v>
      </c>
      <c r="I79" s="114">
        <v>56.370999999999995</v>
      </c>
      <c r="J79" s="114">
        <v>53.717999999999996</v>
      </c>
      <c r="K79" s="114">
        <v>53.25599999999999</v>
      </c>
      <c r="L79" s="114">
        <v>51.967999999999996</v>
      </c>
      <c r="M79" s="114">
        <v>56.06999999999999</v>
      </c>
      <c r="N79" s="114">
        <v>56.06999999999999</v>
      </c>
      <c r="O79" s="91">
        <f>SUM(C69:N79)</f>
        <v>15769.524000000014</v>
      </c>
    </row>
    <row r="80" ht="7.5" customHeight="1"/>
    <row r="81" ht="9.75">
      <c r="A81" s="65" t="s">
        <v>46</v>
      </c>
    </row>
    <row r="82" spans="2:15" ht="9.75">
      <c r="B82" s="51" t="s">
        <v>18</v>
      </c>
      <c r="C82" s="80">
        <f>+C69*C55</f>
        <v>1283.44398</v>
      </c>
      <c r="D82" s="61">
        <f aca="true" t="shared" si="30" ref="D82:N82">+D69*D55</f>
        <v>1346.143812</v>
      </c>
      <c r="E82" s="61">
        <f t="shared" si="30"/>
        <v>1417.2227550000002</v>
      </c>
      <c r="F82" s="61">
        <f t="shared" si="30"/>
        <v>1183.205595</v>
      </c>
      <c r="G82" s="61">
        <f t="shared" si="30"/>
        <v>1338.5891609999999</v>
      </c>
      <c r="H82" s="61">
        <f t="shared" si="30"/>
        <v>1344.4443012</v>
      </c>
      <c r="I82" s="61">
        <f t="shared" si="30"/>
        <v>1099.2745764</v>
      </c>
      <c r="J82" s="61">
        <f t="shared" si="30"/>
        <v>519.24904395</v>
      </c>
      <c r="K82" s="61">
        <f t="shared" si="30"/>
        <v>1022.4709404</v>
      </c>
      <c r="L82" s="61">
        <f t="shared" si="30"/>
        <v>859.8489899999997</v>
      </c>
      <c r="M82" s="61">
        <f t="shared" si="30"/>
        <v>1010.5837559999999</v>
      </c>
      <c r="N82" s="61">
        <f t="shared" si="30"/>
        <v>1054.6382437500001</v>
      </c>
      <c r="O82" s="91">
        <f aca="true" t="shared" si="31" ref="O82:O92">SUM(C82:N82)</f>
        <v>13479.1151547</v>
      </c>
    </row>
    <row r="83" spans="2:15" ht="9.75">
      <c r="B83" s="51" t="s">
        <v>22</v>
      </c>
      <c r="C83" s="80">
        <f aca="true" t="shared" si="32" ref="C83:N83">+C70*C56</f>
        <v>1554.56077392</v>
      </c>
      <c r="D83" s="61">
        <f t="shared" si="32"/>
        <v>1593.5211567</v>
      </c>
      <c r="E83" s="61">
        <f t="shared" si="32"/>
        <v>1768.11764976</v>
      </c>
      <c r="F83" s="61">
        <f t="shared" si="32"/>
        <v>1452.30268194</v>
      </c>
      <c r="G83" s="61">
        <f t="shared" si="32"/>
        <v>1670.03982684</v>
      </c>
      <c r="H83" s="61">
        <f t="shared" si="32"/>
        <v>1711.065665232</v>
      </c>
      <c r="I83" s="61">
        <f t="shared" si="32"/>
        <v>1466.9249364</v>
      </c>
      <c r="J83" s="61">
        <f t="shared" si="32"/>
        <v>692.069794416</v>
      </c>
      <c r="K83" s="61">
        <f t="shared" si="32"/>
        <v>1354.03922808</v>
      </c>
      <c r="L83" s="61">
        <f t="shared" si="32"/>
        <v>986.1597622799999</v>
      </c>
      <c r="M83" s="61">
        <f t="shared" si="32"/>
        <v>1105.7402788739998</v>
      </c>
      <c r="N83" s="61">
        <f t="shared" si="32"/>
        <v>1258.79967675</v>
      </c>
      <c r="O83" s="91">
        <f t="shared" si="31"/>
        <v>16613.341431192002</v>
      </c>
    </row>
    <row r="84" spans="2:15" ht="9.75">
      <c r="B84" s="51" t="s">
        <v>34</v>
      </c>
      <c r="C84" s="80">
        <f aca="true" t="shared" si="33" ref="C84:N84">+C71*C57</f>
        <v>0</v>
      </c>
      <c r="D84" s="61">
        <f t="shared" si="33"/>
        <v>0</v>
      </c>
      <c r="E84" s="61">
        <f t="shared" si="33"/>
        <v>0</v>
      </c>
      <c r="F84" s="61">
        <f t="shared" si="33"/>
        <v>0</v>
      </c>
      <c r="G84" s="61">
        <f t="shared" si="33"/>
        <v>0</v>
      </c>
      <c r="H84" s="61">
        <f t="shared" si="33"/>
        <v>0</v>
      </c>
      <c r="I84" s="61">
        <f t="shared" si="33"/>
        <v>0</v>
      </c>
      <c r="J84" s="61">
        <f t="shared" si="33"/>
        <v>0</v>
      </c>
      <c r="K84" s="61">
        <f t="shared" si="33"/>
        <v>0</v>
      </c>
      <c r="L84" s="61">
        <f t="shared" si="33"/>
        <v>0</v>
      </c>
      <c r="M84" s="61">
        <f t="shared" si="33"/>
        <v>0</v>
      </c>
      <c r="N84" s="61">
        <f t="shared" si="33"/>
        <v>0</v>
      </c>
      <c r="O84" s="91">
        <f t="shared" si="31"/>
        <v>0</v>
      </c>
    </row>
    <row r="85" spans="2:15" ht="9.75">
      <c r="B85" s="51" t="s">
        <v>35</v>
      </c>
      <c r="C85" s="80">
        <f aca="true" t="shared" si="34" ref="C85:N85">+C72*C58</f>
        <v>115.95955140000001</v>
      </c>
      <c r="D85" s="61">
        <f t="shared" si="34"/>
        <v>114.44438115</v>
      </c>
      <c r="E85" s="61">
        <f t="shared" si="34"/>
        <v>118.79133750000001</v>
      </c>
      <c r="F85" s="61">
        <f t="shared" si="34"/>
        <v>99.51968070000001</v>
      </c>
      <c r="G85" s="61">
        <f t="shared" si="34"/>
        <v>129.66574004999998</v>
      </c>
      <c r="H85" s="61">
        <f t="shared" si="34"/>
        <v>102.95346599999999</v>
      </c>
      <c r="I85" s="61">
        <f t="shared" si="34"/>
        <v>77.11466301</v>
      </c>
      <c r="J85" s="61">
        <f t="shared" si="34"/>
        <v>38.52725877</v>
      </c>
      <c r="K85" s="61">
        <f t="shared" si="34"/>
        <v>77.622237</v>
      </c>
      <c r="L85" s="61">
        <f t="shared" si="34"/>
        <v>48.605836124999996</v>
      </c>
      <c r="M85" s="61">
        <f t="shared" si="34"/>
        <v>56.730910005</v>
      </c>
      <c r="N85" s="61">
        <f t="shared" si="34"/>
        <v>57.18202875</v>
      </c>
      <c r="O85" s="91">
        <f t="shared" si="31"/>
        <v>1037.11709046</v>
      </c>
    </row>
    <row r="86" spans="2:15" ht="9.75">
      <c r="B86" s="51" t="s">
        <v>36</v>
      </c>
      <c r="C86" s="80">
        <f aca="true" t="shared" si="35" ref="C86:N86">+C73*C59</f>
        <v>744.0759572400001</v>
      </c>
      <c r="D86" s="61">
        <f t="shared" si="35"/>
        <v>800.1237876100001</v>
      </c>
      <c r="E86" s="61">
        <f t="shared" si="35"/>
        <v>937.1587357800001</v>
      </c>
      <c r="F86" s="61">
        <f t="shared" si="35"/>
        <v>799.83702029</v>
      </c>
      <c r="G86" s="61">
        <f t="shared" si="35"/>
        <v>1095.57399084</v>
      </c>
      <c r="H86" s="61">
        <f t="shared" si="35"/>
        <v>1040.700731</v>
      </c>
      <c r="I86" s="61">
        <f t="shared" si="35"/>
        <v>831.238833866</v>
      </c>
      <c r="J86" s="61">
        <f t="shared" si="35"/>
        <v>337.49002833000003</v>
      </c>
      <c r="K86" s="61">
        <f t="shared" si="35"/>
        <v>519.826502832</v>
      </c>
      <c r="L86" s="61">
        <f t="shared" si="35"/>
        <v>352.65618195499997</v>
      </c>
      <c r="M86" s="61">
        <f t="shared" si="35"/>
        <v>463.157703666</v>
      </c>
      <c r="N86" s="61">
        <f t="shared" si="35"/>
        <v>567.248875725</v>
      </c>
      <c r="O86" s="91">
        <f t="shared" si="31"/>
        <v>8489.088349134001</v>
      </c>
    </row>
    <row r="87" spans="2:15" ht="9.75">
      <c r="B87" s="51" t="s">
        <v>37</v>
      </c>
      <c r="C87" s="80">
        <f aca="true" t="shared" si="36" ref="C87:N87">+C74*C60</f>
        <v>708.575973</v>
      </c>
      <c r="D87" s="61">
        <f t="shared" si="36"/>
        <v>735.3362459999998</v>
      </c>
      <c r="E87" s="61">
        <f t="shared" si="36"/>
        <v>792.5816609999999</v>
      </c>
      <c r="F87" s="61">
        <f t="shared" si="36"/>
        <v>702.80387025</v>
      </c>
      <c r="G87" s="61">
        <f t="shared" si="36"/>
        <v>884.2889789999998</v>
      </c>
      <c r="H87" s="61">
        <f t="shared" si="36"/>
        <v>849.4374798</v>
      </c>
      <c r="I87" s="61">
        <f t="shared" si="36"/>
        <v>817.0008</v>
      </c>
      <c r="J87" s="61">
        <f t="shared" si="36"/>
        <v>391.00425</v>
      </c>
      <c r="K87" s="61">
        <f t="shared" si="36"/>
        <v>735.9324</v>
      </c>
      <c r="L87" s="61">
        <f t="shared" si="36"/>
        <v>619.0430111249999</v>
      </c>
      <c r="M87" s="61">
        <f t="shared" si="36"/>
        <v>675.3965179499999</v>
      </c>
      <c r="N87" s="61">
        <f t="shared" si="36"/>
        <v>642.239154375</v>
      </c>
      <c r="O87" s="91">
        <f t="shared" si="31"/>
        <v>8553.640342499999</v>
      </c>
    </row>
    <row r="88" spans="2:15" ht="9.75">
      <c r="B88" s="51" t="s">
        <v>38</v>
      </c>
      <c r="C88" s="80">
        <f aca="true" t="shared" si="37" ref="C88:N88">+C75*C61</f>
        <v>0</v>
      </c>
      <c r="D88" s="61">
        <f t="shared" si="37"/>
        <v>0</v>
      </c>
      <c r="E88" s="61">
        <f t="shared" si="37"/>
        <v>0</v>
      </c>
      <c r="F88" s="61">
        <f t="shared" si="37"/>
        <v>0</v>
      </c>
      <c r="G88" s="61">
        <f t="shared" si="37"/>
        <v>0</v>
      </c>
      <c r="H88" s="61">
        <f t="shared" si="37"/>
        <v>0</v>
      </c>
      <c r="I88" s="61">
        <f t="shared" si="37"/>
        <v>0</v>
      </c>
      <c r="J88" s="61">
        <f t="shared" si="37"/>
        <v>0</v>
      </c>
      <c r="K88" s="61">
        <f t="shared" si="37"/>
        <v>0</v>
      </c>
      <c r="L88" s="61">
        <f t="shared" si="37"/>
        <v>0</v>
      </c>
      <c r="M88" s="61">
        <f t="shared" si="37"/>
        <v>0</v>
      </c>
      <c r="N88" s="61">
        <f t="shared" si="37"/>
        <v>0</v>
      </c>
      <c r="O88" s="91">
        <f t="shared" si="31"/>
        <v>0</v>
      </c>
    </row>
    <row r="89" spans="2:15" ht="9.75">
      <c r="B89" s="51" t="s">
        <v>31</v>
      </c>
      <c r="C89" s="80">
        <f aca="true" t="shared" si="38" ref="C89:N89">+C76*C62</f>
        <v>-235.21033536000002</v>
      </c>
      <c r="D89" s="61">
        <f t="shared" si="38"/>
        <v>-115.37264336000001</v>
      </c>
      <c r="E89" s="61">
        <f t="shared" si="38"/>
        <v>-131.17004160000002</v>
      </c>
      <c r="F89" s="61">
        <f t="shared" si="38"/>
        <v>-126.78227224000001</v>
      </c>
      <c r="G89" s="61">
        <f t="shared" si="38"/>
        <v>47.094216</v>
      </c>
      <c r="H89" s="61">
        <f t="shared" si="38"/>
        <v>17.700452224</v>
      </c>
      <c r="I89" s="61">
        <f t="shared" si="38"/>
        <v>-46.178865824</v>
      </c>
      <c r="J89" s="61">
        <f t="shared" si="38"/>
        <v>-36.923313336</v>
      </c>
      <c r="K89" s="61">
        <f t="shared" si="38"/>
        <v>-61.707528063999995</v>
      </c>
      <c r="L89" s="61">
        <f t="shared" si="38"/>
        <v>-121.41561431999999</v>
      </c>
      <c r="M89" s="61">
        <f t="shared" si="38"/>
        <v>-79.423697808</v>
      </c>
      <c r="N89" s="61">
        <f t="shared" si="38"/>
        <v>-217.344218</v>
      </c>
      <c r="O89" s="91">
        <f t="shared" si="31"/>
        <v>-1106.7338616880002</v>
      </c>
    </row>
    <row r="90" spans="2:15" ht="9.75">
      <c r="B90" s="51" t="s">
        <v>39</v>
      </c>
      <c r="C90" s="80">
        <f aca="true" t="shared" si="39" ref="C90:N90">+C77*C63</f>
        <v>0</v>
      </c>
      <c r="D90" s="61">
        <f t="shared" si="39"/>
        <v>0</v>
      </c>
      <c r="E90" s="61">
        <f t="shared" si="39"/>
        <v>0</v>
      </c>
      <c r="F90" s="61">
        <f t="shared" si="39"/>
        <v>0</v>
      </c>
      <c r="G90" s="61">
        <f t="shared" si="39"/>
        <v>0</v>
      </c>
      <c r="H90" s="61">
        <f t="shared" si="39"/>
        <v>0</v>
      </c>
      <c r="I90" s="61">
        <f t="shared" si="39"/>
        <v>0</v>
      </c>
      <c r="J90" s="61">
        <f t="shared" si="39"/>
        <v>0</v>
      </c>
      <c r="K90" s="61">
        <f t="shared" si="39"/>
        <v>0</v>
      </c>
      <c r="L90" s="61">
        <f t="shared" si="39"/>
        <v>0</v>
      </c>
      <c r="M90" s="61">
        <f t="shared" si="39"/>
        <v>0</v>
      </c>
      <c r="N90" s="61">
        <f t="shared" si="39"/>
        <v>0</v>
      </c>
      <c r="O90" s="91">
        <f t="shared" si="31"/>
        <v>0</v>
      </c>
    </row>
    <row r="91" spans="2:15" ht="9.75">
      <c r="B91" s="51" t="s">
        <v>40</v>
      </c>
      <c r="C91" s="80">
        <f aca="true" t="shared" si="40" ref="C91:N91">+C78*C64</f>
        <v>-624.5297388400014</v>
      </c>
      <c r="D91" s="61">
        <f t="shared" si="40"/>
        <v>-666.2173126900014</v>
      </c>
      <c r="E91" s="61">
        <f t="shared" si="40"/>
        <v>-695.6480272200016</v>
      </c>
      <c r="F91" s="61">
        <f t="shared" si="40"/>
        <v>-586.6902487300013</v>
      </c>
      <c r="G91" s="61">
        <f t="shared" si="40"/>
        <v>-730.0669984500016</v>
      </c>
      <c r="H91" s="61">
        <f t="shared" si="40"/>
        <v>-717.7388783200016</v>
      </c>
      <c r="I91" s="61">
        <f t="shared" si="40"/>
        <v>-630.0880820200015</v>
      </c>
      <c r="J91" s="61">
        <f t="shared" si="40"/>
        <v>-312.19360861000075</v>
      </c>
      <c r="K91" s="61">
        <f t="shared" si="40"/>
        <v>-632.2259063200014</v>
      </c>
      <c r="L91" s="61">
        <f t="shared" si="40"/>
        <v>-536.9502033500012</v>
      </c>
      <c r="M91" s="61">
        <f t="shared" si="40"/>
        <v>-616.3347456900013</v>
      </c>
      <c r="N91" s="61">
        <f t="shared" si="40"/>
        <v>-628.8766482500014</v>
      </c>
      <c r="O91" s="91">
        <f t="shared" si="31"/>
        <v>-7377.560398490016</v>
      </c>
    </row>
    <row r="92" spans="2:15" ht="9.75">
      <c r="B92" s="51" t="s">
        <v>41</v>
      </c>
      <c r="C92" s="81">
        <f aca="true" t="shared" si="41" ref="C92:N92">+C79*C65</f>
        <v>1976.1528186399987</v>
      </c>
      <c r="D92" s="72">
        <f t="shared" si="41"/>
        <v>2056.6162055199984</v>
      </c>
      <c r="E92" s="72">
        <f t="shared" si="41"/>
        <v>2149.3538167199995</v>
      </c>
      <c r="F92" s="72">
        <f t="shared" si="41"/>
        <v>1802.107867879999</v>
      </c>
      <c r="G92" s="72">
        <f t="shared" si="41"/>
        <v>2070.7788005099997</v>
      </c>
      <c r="H92" s="72">
        <f t="shared" si="41"/>
        <v>1967.9733577279983</v>
      </c>
      <c r="I92" s="72">
        <f t="shared" si="41"/>
        <v>1603.955405275999</v>
      </c>
      <c r="J92" s="72">
        <f t="shared" si="41"/>
        <v>757.3194796439999</v>
      </c>
      <c r="K92" s="61">
        <f t="shared" si="41"/>
        <v>1520.4639125759993</v>
      </c>
      <c r="L92" s="61">
        <f t="shared" si="41"/>
        <v>1260.1008358399993</v>
      </c>
      <c r="M92" s="61">
        <f t="shared" si="41"/>
        <v>1560.5672657399994</v>
      </c>
      <c r="N92" s="61">
        <f t="shared" si="41"/>
        <v>1592.3235194999988</v>
      </c>
      <c r="O92" s="91">
        <f t="shared" si="31"/>
        <v>20317.713285573987</v>
      </c>
    </row>
    <row r="93" spans="1:15" ht="9.75">
      <c r="A93" s="65" t="s">
        <v>47</v>
      </c>
      <c r="B93" s="65"/>
      <c r="C93" s="82">
        <f aca="true" t="shared" si="42" ref="C93:N93">SUM(C82:C92)</f>
        <v>5523.028979999997</v>
      </c>
      <c r="D93" s="83">
        <f t="shared" si="42"/>
        <v>5864.595632929996</v>
      </c>
      <c r="E93" s="83">
        <f t="shared" si="42"/>
        <v>6356.407886939998</v>
      </c>
      <c r="F93" s="83">
        <f t="shared" si="42"/>
        <v>5326.304195089999</v>
      </c>
      <c r="G93" s="83">
        <f t="shared" si="42"/>
        <v>6505.963715789998</v>
      </c>
      <c r="H93" s="83">
        <f t="shared" si="42"/>
        <v>6316.536574863997</v>
      </c>
      <c r="I93" s="83">
        <f t="shared" si="42"/>
        <v>5219.242267107998</v>
      </c>
      <c r="J93" s="83">
        <f t="shared" si="42"/>
        <v>2386.542933163999</v>
      </c>
      <c r="K93" s="90">
        <f t="shared" si="42"/>
        <v>4536.421786503998</v>
      </c>
      <c r="L93" s="90">
        <f t="shared" si="42"/>
        <v>3468.0487996549973</v>
      </c>
      <c r="M93" s="90">
        <f t="shared" si="42"/>
        <v>4176.417988736998</v>
      </c>
      <c r="N93" s="90">
        <f t="shared" si="42"/>
        <v>4326.210632599998</v>
      </c>
      <c r="O93" s="91">
        <f>SUM(C93:N93)</f>
        <v>60005.72139338198</v>
      </c>
    </row>
    <row r="94" spans="1:15" ht="9.75">
      <c r="A94" s="65" t="s">
        <v>48</v>
      </c>
      <c r="B94" s="65"/>
      <c r="C94" s="82">
        <f aca="true" t="shared" si="43" ref="C94:N94">+C93/C66</f>
        <v>63.01949999999997</v>
      </c>
      <c r="D94" s="83">
        <f t="shared" si="43"/>
        <v>62.72965699999996</v>
      </c>
      <c r="E94" s="83">
        <f t="shared" si="43"/>
        <v>65.11378699999997</v>
      </c>
      <c r="F94" s="83">
        <f t="shared" si="43"/>
        <v>64.69457299999999</v>
      </c>
      <c r="G94" s="83">
        <f t="shared" si="43"/>
        <v>63.50379419999998</v>
      </c>
      <c r="H94" s="83">
        <f t="shared" si="43"/>
        <v>62.71382619999997</v>
      </c>
      <c r="I94" s="83">
        <f t="shared" si="43"/>
        <v>59.02784739999997</v>
      </c>
      <c r="J94" s="83">
        <f t="shared" si="43"/>
        <v>54.474844399999974</v>
      </c>
      <c r="K94" s="116">
        <f t="shared" si="43"/>
        <v>51.13189569999998</v>
      </c>
      <c r="L94" s="116">
        <f t="shared" si="43"/>
        <v>46.02586329999997</v>
      </c>
      <c r="M94" s="116">
        <f t="shared" si="43"/>
        <v>48.287871299999985</v>
      </c>
      <c r="N94" s="116">
        <f t="shared" si="43"/>
        <v>49.022216799999974</v>
      </c>
      <c r="O94" s="91"/>
    </row>
    <row r="95" ht="7.5" customHeight="1"/>
    <row r="96" spans="1:14" ht="9.75">
      <c r="A96" s="65"/>
      <c r="C96" s="91">
        <f>C94*0.7</f>
        <v>44.11364999999998</v>
      </c>
      <c r="D96" s="91">
        <f aca="true" t="shared" si="44" ref="D96:N96">D94*0.7</f>
        <v>43.91075989999997</v>
      </c>
      <c r="E96" s="91">
        <f t="shared" si="44"/>
        <v>45.579650899999976</v>
      </c>
      <c r="F96" s="91">
        <f t="shared" si="44"/>
        <v>45.28620109999999</v>
      </c>
      <c r="G96" s="91">
        <f t="shared" si="44"/>
        <v>44.452655939999985</v>
      </c>
      <c r="H96" s="91">
        <f t="shared" si="44"/>
        <v>43.89967833999998</v>
      </c>
      <c r="I96" s="91">
        <f t="shared" si="44"/>
        <v>41.319493179999974</v>
      </c>
      <c r="J96" s="91">
        <f t="shared" si="44"/>
        <v>38.13239107999998</v>
      </c>
      <c r="K96" s="91">
        <f t="shared" si="44"/>
        <v>35.792326989999985</v>
      </c>
      <c r="L96" s="91">
        <f t="shared" si="44"/>
        <v>32.21810430999998</v>
      </c>
      <c r="M96" s="91">
        <f t="shared" si="44"/>
        <v>33.801509909999986</v>
      </c>
      <c r="N96" s="91">
        <f t="shared" si="44"/>
        <v>34.31555175999998</v>
      </c>
    </row>
    <row r="97" spans="3:14" ht="9.75">
      <c r="C97" s="84"/>
      <c r="D97" s="84"/>
      <c r="E97" s="84"/>
      <c r="F97" s="84"/>
      <c r="G97" s="84"/>
      <c r="H97" s="84"/>
      <c r="I97" s="84"/>
      <c r="J97" s="84"/>
      <c r="K97" s="84"/>
      <c r="L97" s="84"/>
      <c r="M97" s="84"/>
      <c r="N97" s="84"/>
    </row>
    <row r="98" spans="1:10" ht="9.75">
      <c r="A98" s="65"/>
      <c r="B98" s="65"/>
      <c r="C98" s="82"/>
      <c r="D98" s="82"/>
      <c r="E98" s="82"/>
      <c r="F98" s="82"/>
      <c r="G98" s="82"/>
      <c r="H98" s="82"/>
      <c r="I98" s="82"/>
      <c r="J98" s="86"/>
    </row>
    <row r="99" spans="3:10" ht="7.5" customHeight="1">
      <c r="C99" s="85"/>
      <c r="D99" s="85"/>
      <c r="E99" s="85"/>
      <c r="F99" s="85"/>
      <c r="G99" s="85"/>
      <c r="H99" s="85"/>
      <c r="I99" s="85"/>
      <c r="J99" s="85"/>
    </row>
    <row r="100" spans="1:10" ht="9.75">
      <c r="A100" s="65"/>
      <c r="B100" s="65"/>
      <c r="C100" s="86"/>
      <c r="D100" s="86"/>
      <c r="E100" s="86"/>
      <c r="F100" s="86"/>
      <c r="G100" s="86"/>
      <c r="H100" s="86"/>
      <c r="I100" s="86"/>
      <c r="J100" s="86"/>
    </row>
    <row r="101" spans="3:10" ht="7.5" customHeight="1">
      <c r="C101" s="85"/>
      <c r="D101" s="85"/>
      <c r="E101" s="85"/>
      <c r="F101" s="85"/>
      <c r="G101" s="85"/>
      <c r="H101" s="85"/>
      <c r="I101" s="85"/>
      <c r="J101" s="85"/>
    </row>
    <row r="102" spans="1:10" ht="9.75">
      <c r="A102" s="65"/>
      <c r="C102" s="84"/>
      <c r="D102" s="84"/>
      <c r="E102" s="84"/>
      <c r="F102" s="84"/>
      <c r="G102" s="84"/>
      <c r="H102" s="84"/>
      <c r="I102" s="84"/>
      <c r="J102" s="87"/>
    </row>
    <row r="105" ht="9.75">
      <c r="B105" s="51" t="str">
        <f ca="1">CELL("filename")</f>
        <v>C:\Users\jsnyder\Documents\Lynnwood Commodity Credit Templates\Lynnwood Commodity Credit Templates\[TG-151223 Lynnwood Multi Family Commodity Credit Template - 2015.xls]WUTC_AW of Lynnwood_MF</v>
      </c>
    </row>
  </sheetData>
  <sheetProtection/>
  <printOptions/>
  <pageMargins left="0.5" right="0.5" top="0.75" bottom="0.75" header="0.5" footer="0.5"/>
  <pageSetup fitToWidth="0" fitToHeight="1" horizontalDpi="600" verticalDpi="600" orientation="portrait" scale="60" r:id="rId3"/>
  <rowBreaks count="1" manualBreakCount="1">
    <brk id="53"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JG00116</dc:creator>
  <cp:keywords/>
  <dc:description/>
  <cp:lastModifiedBy>Jennifer Snyder</cp:lastModifiedBy>
  <cp:lastPrinted>2015-06-09T17:13:16Z</cp:lastPrinted>
  <dcterms:created xsi:type="dcterms:W3CDTF">2008-05-23T15:47:44Z</dcterms:created>
  <dcterms:modified xsi:type="dcterms:W3CDTF">2015-06-11T23:15:29Z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Workpapers</vt:lpwstr>
  </property>
  <property fmtid="{D5CDD505-2E9C-101B-9397-08002B2CF9AE}" pid="4" name="IsHighlyConfidenti">
    <vt:lpwstr>0</vt:lpwstr>
  </property>
  <property fmtid="{D5CDD505-2E9C-101B-9397-08002B2CF9AE}" pid="5" name="DocketNumb">
    <vt:lpwstr>151223</vt:lpwstr>
  </property>
  <property fmtid="{D5CDD505-2E9C-101B-9397-08002B2CF9AE}" pid="6" name="IsConfidenti">
    <vt:lpwstr>0</vt:lpwstr>
  </property>
  <property fmtid="{D5CDD505-2E9C-101B-9397-08002B2CF9AE}" pid="7" name="Dat">
    <vt:lpwstr>2015-06-11T00:00:00Z</vt:lpwstr>
  </property>
  <property fmtid="{D5CDD505-2E9C-101B-9397-08002B2CF9AE}" pid="8" name="_docset_NoMedatataSyncRequir">
    <vt:lpwstr>False</vt:lpwstr>
  </property>
  <property fmtid="{D5CDD505-2E9C-101B-9397-08002B2CF9AE}" pid="9" name="CaseTy">
    <vt:lpwstr>Tariff Revision</vt:lpwstr>
  </property>
  <property fmtid="{D5CDD505-2E9C-101B-9397-08002B2CF9AE}" pid="10" name="OpenedDa">
    <vt:lpwstr>2015-06-11T00:00:00Z</vt:lpwstr>
  </property>
  <property fmtid="{D5CDD505-2E9C-101B-9397-08002B2CF9AE}" pid="11" name="Pref">
    <vt:lpwstr>TG</vt:lpwstr>
  </property>
  <property fmtid="{D5CDD505-2E9C-101B-9397-08002B2CF9AE}" pid="12" name="CaseCompanyNam">
    <vt:lpwstr>RABANCO LTD</vt:lpwstr>
  </property>
  <property fmtid="{D5CDD505-2E9C-101B-9397-08002B2CF9AE}" pid="13" name="IndustryCo">
    <vt:lpwstr>227</vt:lpwstr>
  </property>
  <property fmtid="{D5CDD505-2E9C-101B-9397-08002B2CF9AE}" pid="14" name="CaseStat">
    <vt:lpwstr>Closed</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