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00" windowHeight="11775" activeTab="1"/>
  </bookViews>
  <sheets>
    <sheet name="Comparison" sheetId="8" r:id="rId1"/>
    <sheet name="FERC Revenue" sheetId="3" r:id="rId2"/>
  </sheets>
  <definedNames>
    <definedName name="Discount_Rate" localSheetId="0">Comparison!$F$64</definedName>
    <definedName name="_xlnm.Print_Area" localSheetId="0">Comparison!$A$1:$T$65</definedName>
  </definedNames>
  <calcPr calcId="145621" calcMode="manual"/>
</workbook>
</file>

<file path=xl/calcChain.xml><?xml version="1.0" encoding="utf-8"?>
<calcChain xmlns="http://schemas.openxmlformats.org/spreadsheetml/2006/main">
  <c r="H8" i="8" l="1"/>
  <c r="I8" i="8" s="1"/>
  <c r="J8" i="8" s="1"/>
  <c r="K8" i="8" s="1"/>
  <c r="F8" i="8"/>
  <c r="L8" i="8" l="1"/>
  <c r="M8" i="8" s="1"/>
  <c r="N8" i="8" s="1"/>
  <c r="O8" i="8" s="1"/>
  <c r="P8" i="8" s="1"/>
  <c r="Q8" i="8" s="1"/>
  <c r="R8" i="8" s="1"/>
  <c r="S8" i="8" s="1"/>
  <c r="D12" i="8" l="1"/>
  <c r="D11" i="8"/>
  <c r="A11" i="8"/>
  <c r="A12" i="8" s="1"/>
  <c r="A14" i="8" s="1"/>
  <c r="A18" i="8" s="1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24" i="8"/>
  <c r="H24" i="8"/>
  <c r="I23" i="8"/>
  <c r="H23" i="8"/>
  <c r="I22" i="8"/>
  <c r="H22" i="8"/>
  <c r="I21" i="8"/>
  <c r="H21" i="8"/>
  <c r="I19" i="8"/>
  <c r="H19" i="8"/>
  <c r="I18" i="8"/>
  <c r="H18" i="8"/>
  <c r="I20" i="8"/>
  <c r="H20" i="8"/>
  <c r="A19" i="8" l="1"/>
  <c r="A20" i="8" s="1"/>
  <c r="F14" i="8"/>
  <c r="C62" i="8"/>
  <c r="C60" i="8"/>
  <c r="S58" i="8"/>
  <c r="R58" i="8"/>
  <c r="Q58" i="8"/>
  <c r="P58" i="8"/>
  <c r="O58" i="8"/>
  <c r="N58" i="8"/>
  <c r="M58" i="8"/>
  <c r="L58" i="8"/>
  <c r="K58" i="8"/>
  <c r="J58" i="8"/>
  <c r="D57" i="8"/>
  <c r="S50" i="8"/>
  <c r="R50" i="8"/>
  <c r="R57" i="8" s="1"/>
  <c r="Q50" i="8"/>
  <c r="Q57" i="8" s="1"/>
  <c r="P50" i="8"/>
  <c r="P57" i="8" s="1"/>
  <c r="O50" i="8"/>
  <c r="N50" i="8"/>
  <c r="N57" i="8" s="1"/>
  <c r="M50" i="8"/>
  <c r="M57" i="8" s="1"/>
  <c r="L50" i="8"/>
  <c r="L57" i="8" s="1"/>
  <c r="K50" i="8"/>
  <c r="J50" i="8"/>
  <c r="C38" i="8"/>
  <c r="J34" i="8"/>
  <c r="K34" i="8"/>
  <c r="L34" i="8"/>
  <c r="M34" i="8"/>
  <c r="N34" i="8"/>
  <c r="O34" i="8"/>
  <c r="P34" i="8"/>
  <c r="Q34" i="8"/>
  <c r="R34" i="8"/>
  <c r="S34" i="8"/>
  <c r="C36" i="8"/>
  <c r="D33" i="8"/>
  <c r="S26" i="8"/>
  <c r="S33" i="8" s="1"/>
  <c r="R26" i="8"/>
  <c r="Q26" i="8"/>
  <c r="Q33" i="8" s="1"/>
  <c r="P26" i="8"/>
  <c r="O26" i="8"/>
  <c r="O33" i="8" s="1"/>
  <c r="N26" i="8"/>
  <c r="M26" i="8"/>
  <c r="M33" i="8" s="1"/>
  <c r="L26" i="8"/>
  <c r="K26" i="8"/>
  <c r="J26" i="8"/>
  <c r="A21" i="8" l="1"/>
  <c r="A22" i="8" s="1"/>
  <c r="A23" i="8" s="1"/>
  <c r="A24" i="8" s="1"/>
  <c r="F34" i="8"/>
  <c r="I58" i="8"/>
  <c r="H58" i="8"/>
  <c r="I34" i="8"/>
  <c r="H34" i="8"/>
  <c r="M60" i="8"/>
  <c r="M62" i="8" s="1"/>
  <c r="M52" i="8" s="1"/>
  <c r="M54" i="8" s="1"/>
  <c r="M12" i="8" s="1"/>
  <c r="Q60" i="8"/>
  <c r="Q62" i="8" s="1"/>
  <c r="Q52" i="8" s="1"/>
  <c r="Q54" i="8" s="1"/>
  <c r="Q12" i="8" s="1"/>
  <c r="N60" i="8"/>
  <c r="N62" i="8" s="1"/>
  <c r="N52" i="8" s="1"/>
  <c r="N54" i="8" s="1"/>
  <c r="N12" i="8" s="1"/>
  <c r="R60" i="8"/>
  <c r="R62" i="8" s="1"/>
  <c r="R52" i="8" s="1"/>
  <c r="R54" i="8" s="1"/>
  <c r="R12" i="8" s="1"/>
  <c r="H50" i="8"/>
  <c r="I50" i="8"/>
  <c r="L60" i="8"/>
  <c r="L62" i="8" s="1"/>
  <c r="L52" i="8" s="1"/>
  <c r="L54" i="8" s="1"/>
  <c r="L12" i="8" s="1"/>
  <c r="P60" i="8"/>
  <c r="P62" i="8" s="1"/>
  <c r="P52" i="8" s="1"/>
  <c r="P54" i="8" s="1"/>
  <c r="P12" i="8" s="1"/>
  <c r="J57" i="8"/>
  <c r="K57" i="8"/>
  <c r="K60" i="8" s="1"/>
  <c r="K62" i="8" s="1"/>
  <c r="K52" i="8" s="1"/>
  <c r="K54" i="8" s="1"/>
  <c r="K12" i="8" s="1"/>
  <c r="O57" i="8"/>
  <c r="O60" i="8" s="1"/>
  <c r="O62" i="8" s="1"/>
  <c r="O52" i="8" s="1"/>
  <c r="O54" i="8" s="1"/>
  <c r="O12" i="8" s="1"/>
  <c r="S57" i="8"/>
  <c r="S60" i="8" s="1"/>
  <c r="S62" i="8" s="1"/>
  <c r="S52" i="8" s="1"/>
  <c r="S54" i="8" s="1"/>
  <c r="S12" i="8" s="1"/>
  <c r="N33" i="8"/>
  <c r="N36" i="8" s="1"/>
  <c r="O36" i="8"/>
  <c r="S36" i="8"/>
  <c r="R33" i="8"/>
  <c r="R36" i="8" s="1"/>
  <c r="M36" i="8"/>
  <c r="J33" i="8"/>
  <c r="L33" i="8"/>
  <c r="L36" i="8" s="1"/>
  <c r="L38" i="8" s="1"/>
  <c r="P33" i="8"/>
  <c r="P36" i="8" s="1"/>
  <c r="P38" i="8" s="1"/>
  <c r="K33" i="8"/>
  <c r="K36" i="8" s="1"/>
  <c r="I26" i="8"/>
  <c r="H26" i="8"/>
  <c r="Q36" i="8"/>
  <c r="Q38" i="8" s="1"/>
  <c r="A26" i="8" l="1"/>
  <c r="F26" i="8"/>
  <c r="J36" i="8"/>
  <c r="J38" i="8" s="1"/>
  <c r="I33" i="8"/>
  <c r="I36" i="8" s="1"/>
  <c r="H33" i="8"/>
  <c r="H36" i="8" s="1"/>
  <c r="J60" i="8"/>
  <c r="J62" i="8" s="1"/>
  <c r="I57" i="8"/>
  <c r="I60" i="8" s="1"/>
  <c r="H57" i="8"/>
  <c r="H60" i="8" s="1"/>
  <c r="O38" i="8"/>
  <c r="O28" i="8" s="1"/>
  <c r="O30" i="8" s="1"/>
  <c r="O11" i="8" s="1"/>
  <c r="O14" i="8" s="1"/>
  <c r="M38" i="8"/>
  <c r="M28" i="8" s="1"/>
  <c r="M30" i="8" s="1"/>
  <c r="M11" i="8" s="1"/>
  <c r="M14" i="8" s="1"/>
  <c r="R38" i="8"/>
  <c r="R28" i="8" s="1"/>
  <c r="R30" i="8" s="1"/>
  <c r="R11" i="8" s="1"/>
  <c r="R14" i="8" s="1"/>
  <c r="N38" i="8"/>
  <c r="N28" i="8" s="1"/>
  <c r="N30" i="8" s="1"/>
  <c r="N11" i="8" s="1"/>
  <c r="N14" i="8" s="1"/>
  <c r="K38" i="8"/>
  <c r="K28" i="8" s="1"/>
  <c r="K30" i="8" s="1"/>
  <c r="K11" i="8" s="1"/>
  <c r="K14" i="8" s="1"/>
  <c r="S38" i="8"/>
  <c r="S28" i="8" s="1"/>
  <c r="S30" i="8" s="1"/>
  <c r="S11" i="8" s="1"/>
  <c r="S14" i="8" s="1"/>
  <c r="L28" i="8"/>
  <c r="L30" i="8" s="1"/>
  <c r="L11" i="8" s="1"/>
  <c r="L14" i="8" s="1"/>
  <c r="Q28" i="8"/>
  <c r="Q30" i="8" s="1"/>
  <c r="Q11" i="8" s="1"/>
  <c r="Q14" i="8" s="1"/>
  <c r="P28" i="8"/>
  <c r="P30" i="8" s="1"/>
  <c r="P11" i="8" s="1"/>
  <c r="P14" i="8" s="1"/>
  <c r="A28" i="8" l="1"/>
  <c r="A30" i="8" s="1"/>
  <c r="F33" i="8"/>
  <c r="I38" i="8"/>
  <c r="H38" i="8"/>
  <c r="J52" i="8"/>
  <c r="I62" i="8"/>
  <c r="H62" i="8"/>
  <c r="J28" i="8"/>
  <c r="F30" i="8" l="1"/>
  <c r="A33" i="8"/>
  <c r="F11" i="8"/>
  <c r="I28" i="8"/>
  <c r="I30" i="8" s="1"/>
  <c r="H28" i="8"/>
  <c r="H30" i="8" s="1"/>
  <c r="J30" i="8"/>
  <c r="J11" i="8" s="1"/>
  <c r="J54" i="8"/>
  <c r="J12" i="8" s="1"/>
  <c r="I52" i="8"/>
  <c r="I54" i="8" s="1"/>
  <c r="H52" i="8"/>
  <c r="H54" i="8" s="1"/>
  <c r="F37" i="3"/>
  <c r="D37" i="3"/>
  <c r="F19" i="3"/>
  <c r="D19" i="3"/>
  <c r="J14" i="8" l="1"/>
  <c r="A34" i="8"/>
  <c r="A36" i="8" s="1"/>
  <c r="I12" i="8"/>
  <c r="H12" i="8"/>
  <c r="I11" i="8"/>
  <c r="H11" i="8"/>
  <c r="F28" i="3"/>
  <c r="D28" i="3"/>
  <c r="F25" i="3"/>
  <c r="F24" i="3"/>
  <c r="H24" i="3" s="1"/>
  <c r="F23" i="3"/>
  <c r="D25" i="3"/>
  <c r="D24" i="3"/>
  <c r="D23" i="3"/>
  <c r="H23" i="3" s="1"/>
  <c r="F33" i="3"/>
  <c r="D33" i="3"/>
  <c r="H32" i="3"/>
  <c r="H31" i="3"/>
  <c r="H33" i="3" s="1"/>
  <c r="H28" i="3"/>
  <c r="D26" i="3"/>
  <c r="D29" i="3" s="1"/>
  <c r="H25" i="3"/>
  <c r="H17" i="3"/>
  <c r="F17" i="3"/>
  <c r="D17" i="3"/>
  <c r="F15" i="3"/>
  <c r="D15" i="3"/>
  <c r="H14" i="3"/>
  <c r="H13" i="3"/>
  <c r="I14" i="8" l="1"/>
  <c r="A38" i="8"/>
  <c r="F38" i="8"/>
  <c r="H14" i="8"/>
  <c r="F36" i="8"/>
  <c r="F26" i="3"/>
  <c r="F29" i="3" s="1"/>
  <c r="F35" i="3" s="1"/>
  <c r="D35" i="3"/>
  <c r="H26" i="3"/>
  <c r="H15" i="3"/>
  <c r="F28" i="8" l="1"/>
  <c r="A42" i="8"/>
  <c r="H29" i="3"/>
  <c r="H35" i="3" s="1"/>
  <c r="A43" i="8" l="1"/>
  <c r="A44" i="8" s="1"/>
  <c r="H37" i="3"/>
  <c r="A45" i="8" l="1"/>
  <c r="A46" i="8" s="1"/>
  <c r="A47" i="8" s="1"/>
  <c r="A48" i="8" s="1"/>
  <c r="F58" i="8"/>
  <c r="F11" i="3"/>
  <c r="D11" i="3"/>
  <c r="F8" i="3"/>
  <c r="D8" i="3"/>
  <c r="H7" i="3"/>
  <c r="F10" i="3"/>
  <c r="H10" i="3" s="1"/>
  <c r="H6" i="3"/>
  <c r="H5" i="3"/>
  <c r="H8" i="3" s="1"/>
  <c r="A50" i="8" l="1"/>
  <c r="F50" i="8"/>
  <c r="H11" i="3"/>
  <c r="A52" i="8" l="1"/>
  <c r="A54" i="8" s="1"/>
  <c r="F12" i="8" s="1"/>
  <c r="F57" i="8"/>
  <c r="H19" i="3"/>
  <c r="F54" i="8" l="1"/>
  <c r="A57" i="8"/>
  <c r="A58" i="8" l="1"/>
  <c r="A60" i="8" s="1"/>
  <c r="F60" i="8" l="1"/>
  <c r="A62" i="8"/>
  <c r="F52" i="8" s="1"/>
  <c r="F62" i="8"/>
</calcChain>
</file>

<file path=xl/sharedStrings.xml><?xml version="1.0" encoding="utf-8"?>
<sst xmlns="http://schemas.openxmlformats.org/spreadsheetml/2006/main" count="68" uniqueCount="41">
  <si>
    <t>Operating Revenue</t>
  </si>
  <si>
    <t>Book Depreciation</t>
  </si>
  <si>
    <t>PacifiCorp</t>
  </si>
  <si>
    <t>(Thousands of Dollars)</t>
  </si>
  <si>
    <t>Total</t>
  </si>
  <si>
    <t>Current and Deferred Income Taxes</t>
  </si>
  <si>
    <t>Retail Revenue Requirements</t>
  </si>
  <si>
    <t>Network Service</t>
  </si>
  <si>
    <t>PAC</t>
  </si>
  <si>
    <t>Other</t>
  </si>
  <si>
    <t>Other Serivces</t>
  </si>
  <si>
    <t>Point-to-Point</t>
  </si>
  <si>
    <t>Behind The Meter</t>
  </si>
  <si>
    <t>Total Network Load</t>
  </si>
  <si>
    <t>Total Firm Load</t>
  </si>
  <si>
    <t>Short-Term Firm</t>
  </si>
  <si>
    <t>Short-Term Non-Firm</t>
  </si>
  <si>
    <t>Total Short-Term</t>
  </si>
  <si>
    <t>Total Sales (MW-Year)</t>
  </si>
  <si>
    <t>Sales (MW-Year)</t>
  </si>
  <si>
    <t>Total Revenue</t>
  </si>
  <si>
    <t>Revenue</t>
  </si>
  <si>
    <t>Property Taxes</t>
  </si>
  <si>
    <t>Rate of Return</t>
  </si>
  <si>
    <t>FERC Revenue Requirement</t>
  </si>
  <si>
    <t>Operating Expenses (Excluding Wheeling)</t>
  </si>
  <si>
    <t>Wheeling</t>
  </si>
  <si>
    <t>Revenue Requirements</t>
  </si>
  <si>
    <t>Gross Revenue Requirements</t>
  </si>
  <si>
    <t>Less: Wheeling</t>
  </si>
  <si>
    <t>Proposed Exchange</t>
  </si>
  <si>
    <t>Line No.</t>
  </si>
  <si>
    <t>Formula</t>
  </si>
  <si>
    <t>Retail Revenue Requirement</t>
  </si>
  <si>
    <t>Proposed Exchange with Idaho Power compared to the Status Quo</t>
  </si>
  <si>
    <t>Less Transmission Revenue Credits</t>
  </si>
  <si>
    <t>Status Quo (Retain Legacy Agreements)</t>
  </si>
  <si>
    <t>Note: Discount Rate</t>
  </si>
  <si>
    <t>Retail Cost or (Benefit)</t>
  </si>
  <si>
    <t>Present Value</t>
  </si>
  <si>
    <t>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</si>
</sst>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_)\ \ \ ;\(0\)\ \ \ "/>
    <numFmt numFmtId="167" formatCode="0\);\(0\)"/>
  </numFmts>
  <fonts count="11">
    <font>
      <sz val="11"/>
      <color theme="1"/>
      <name val="Calibri"/>
      <family val="2"/>
      <scheme val="minor"/>
    </font>
    <font>
      <b/>
      <sz val="10"/>
      <name val="Geneva"/>
      <family val="2"/>
    </font>
    <font>
      <sz val="10"/>
      <name val="Geneva"/>
      <family val="2"/>
    </font>
    <font>
      <b/>
      <u/>
      <sz val="10"/>
      <name val="Geneva"/>
      <family val="2"/>
    </font>
    <font>
      <b/>
      <sz val="10"/>
      <color rgb="FFFF0000"/>
      <name val="Geneva"/>
      <family val="2"/>
    </font>
    <font>
      <sz val="10"/>
      <color theme="1"/>
      <name val="Genev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Geneva"/>
      <family val="2"/>
    </font>
    <font>
      <sz val="12"/>
      <color theme="1"/>
      <name val="Calibri"/>
      <family val="2"/>
      <scheme val="minor"/>
    </font>
    <font>
      <b/>
      <sz val="10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0">
    <xf numFmtId="0" fontId="0" fillId="0" borderId="0" xfId="0"/>
    <xf numFmtId="37" fontId="0" fillId="0" borderId="0" xfId="0" applyNumberFormat="1"/>
    <xf numFmtId="37" fontId="2" fillId="0" borderId="0" xfId="0" applyNumberFormat="1" applyFont="1"/>
    <xf numFmtId="37" fontId="1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2" fillId="0" borderId="0" xfId="0" applyFont="1"/>
    <xf numFmtId="37" fontId="2" fillId="0" borderId="0" xfId="0" applyNumberFormat="1" applyFont="1" applyBorder="1"/>
    <xf numFmtId="37" fontId="4" fillId="0" borderId="0" xfId="0" applyNumberFormat="1" applyFont="1"/>
    <xf numFmtId="37" fontId="1" fillId="0" borderId="0" xfId="0" applyNumberFormat="1" applyFont="1" applyBorder="1"/>
    <xf numFmtId="37" fontId="1" fillId="0" borderId="0" xfId="0" applyNumberFormat="1" applyFont="1" applyFill="1"/>
    <xf numFmtId="37" fontId="5" fillId="0" borderId="0" xfId="0" applyNumberFormat="1" applyFont="1" applyBorder="1"/>
    <xf numFmtId="37" fontId="5" fillId="0" borderId="0" xfId="0" applyNumberFormat="1" applyFont="1"/>
    <xf numFmtId="37" fontId="5" fillId="0" borderId="3" xfId="0" applyNumberFormat="1" applyFont="1" applyBorder="1"/>
    <xf numFmtId="164" fontId="0" fillId="0" borderId="0" xfId="1" applyNumberFormat="1" applyFont="1"/>
    <xf numFmtId="164" fontId="0" fillId="0" borderId="2" xfId="1" applyNumberFormat="1" applyFont="1" applyBorder="1"/>
    <xf numFmtId="10" fontId="0" fillId="0" borderId="0" xfId="3" applyNumberFormat="1" applyFont="1"/>
    <xf numFmtId="44" fontId="0" fillId="0" borderId="0" xfId="2" applyFont="1"/>
    <xf numFmtId="37" fontId="5" fillId="0" borderId="1" xfId="0" applyNumberFormat="1" applyFont="1" applyBorder="1"/>
    <xf numFmtId="0" fontId="6" fillId="0" borderId="0" xfId="0" applyFont="1"/>
    <xf numFmtId="37" fontId="1" fillId="0" borderId="0" xfId="0" applyNumberFormat="1" applyFont="1"/>
    <xf numFmtId="37" fontId="0" fillId="0" borderId="0" xfId="0" applyNumberFormat="1" applyAlignment="1">
      <alignment horizontal="center"/>
    </xf>
    <xf numFmtId="37" fontId="9" fillId="0" borderId="0" xfId="0" applyNumberFormat="1" applyFont="1"/>
    <xf numFmtId="37" fontId="8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37" fontId="10" fillId="0" borderId="3" xfId="0" applyNumberFormat="1" applyFont="1" applyBorder="1"/>
    <xf numFmtId="37" fontId="6" fillId="0" borderId="2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37" fontId="8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37" fontId="8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37" fontId="1" fillId="0" borderId="2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view="pageLayout" topLeftCell="G43" zoomScaleNormal="70" workbookViewId="0">
      <selection sqref="A1:T1"/>
    </sheetView>
  </sheetViews>
  <sheetFormatPr defaultRowHeight="15"/>
  <cols>
    <col min="1" max="1" width="9.85546875" customWidth="1"/>
    <col min="2" max="2" width="1.5703125" customWidth="1"/>
    <col min="3" max="4" width="2.5703125" customWidth="1"/>
    <col min="5" max="5" width="30.42578125" customWidth="1"/>
    <col min="6" max="6" width="15.7109375" customWidth="1"/>
    <col min="7" max="7" width="1.5703125" customWidth="1"/>
    <col min="8" max="19" width="13" customWidth="1"/>
    <col min="20" max="20" width="1.5703125" customWidth="1"/>
    <col min="21" max="145" width="13" customWidth="1"/>
  </cols>
  <sheetData>
    <row r="1" spans="1:20" s="21" customFormat="1" ht="15.75">
      <c r="A1" s="37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s="21" customFormat="1" ht="15.75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s="1" customFormat="1" ht="15.75">
      <c r="A3" s="34" t="s">
        <v>33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s="1" customFormat="1" ht="15.75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s="1" customFormat="1" ht="15.75">
      <c r="A5" s="22"/>
      <c r="B5" s="22"/>
      <c r="C5" s="22"/>
      <c r="D5" s="22"/>
      <c r="E5" s="22"/>
      <c r="F5" s="22"/>
      <c r="G5" s="22"/>
      <c r="H5" s="27" t="s">
        <v>39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s="1" customFormat="1">
      <c r="C6" s="2"/>
      <c r="D6" s="2"/>
      <c r="E6" s="2"/>
      <c r="F6" s="2"/>
      <c r="H6" s="27" t="s">
        <v>21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s="1" customFormat="1">
      <c r="A7" s="25" t="s">
        <v>31</v>
      </c>
      <c r="C7" s="39" t="s">
        <v>27</v>
      </c>
      <c r="D7" s="39"/>
      <c r="E7" s="39"/>
      <c r="F7" s="26" t="s">
        <v>32</v>
      </c>
      <c r="H7" s="26" t="s">
        <v>40</v>
      </c>
      <c r="I7" s="4" t="s">
        <v>4</v>
      </c>
      <c r="J7" s="4">
        <v>2016</v>
      </c>
      <c r="K7" s="4">
        <v>2017</v>
      </c>
      <c r="L7" s="4">
        <v>2018</v>
      </c>
      <c r="M7" s="4">
        <v>2019</v>
      </c>
      <c r="N7" s="4">
        <v>2020</v>
      </c>
      <c r="O7" s="4">
        <v>2021</v>
      </c>
      <c r="P7" s="4">
        <v>2022</v>
      </c>
      <c r="Q7" s="4">
        <v>2023</v>
      </c>
      <c r="R7" s="4">
        <v>2024</v>
      </c>
      <c r="S7" s="4">
        <v>2025</v>
      </c>
    </row>
    <row r="8" spans="1:20">
      <c r="C8" s="38">
        <v>-1</v>
      </c>
      <c r="D8" s="38"/>
      <c r="E8" s="38"/>
      <c r="F8" s="29">
        <f>C8-1</f>
        <v>-2</v>
      </c>
      <c r="H8" s="32">
        <f>F8-1</f>
        <v>-3</v>
      </c>
      <c r="I8" s="28">
        <f t="shared" ref="I8:S8" si="0">H8-1</f>
        <v>-4</v>
      </c>
      <c r="J8" s="28">
        <f t="shared" si="0"/>
        <v>-5</v>
      </c>
      <c r="K8" s="28">
        <f t="shared" si="0"/>
        <v>-6</v>
      </c>
      <c r="L8" s="28">
        <f t="shared" si="0"/>
        <v>-7</v>
      </c>
      <c r="M8" s="28">
        <f t="shared" si="0"/>
        <v>-8</v>
      </c>
      <c r="N8" s="28">
        <f t="shared" si="0"/>
        <v>-9</v>
      </c>
      <c r="O8" s="28">
        <f t="shared" si="0"/>
        <v>-10</v>
      </c>
      <c r="P8" s="28">
        <f t="shared" si="0"/>
        <v>-11</v>
      </c>
      <c r="Q8" s="28">
        <f t="shared" si="0"/>
        <v>-12</v>
      </c>
      <c r="R8" s="28">
        <f t="shared" si="0"/>
        <v>-13</v>
      </c>
      <c r="S8" s="28">
        <f t="shared" si="0"/>
        <v>-14</v>
      </c>
    </row>
    <row r="9" spans="1:20" s="1" customFormat="1" ht="3" customHeight="1">
      <c r="C9" s="7"/>
      <c r="D9" s="19"/>
      <c r="E9" s="2"/>
      <c r="F9" s="11"/>
      <c r="H9" s="2"/>
      <c r="I9" s="8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20">
      <c r="C10" s="9" t="s">
        <v>6</v>
      </c>
    </row>
    <row r="11" spans="1:20">
      <c r="A11" s="20">
        <f t="shared" ref="A11:A12" si="1">A10+1</f>
        <v>1</v>
      </c>
      <c r="D11" s="18" t="str">
        <f>$A$16</f>
        <v>Proposed Exchange</v>
      </c>
      <c r="F11" s="23" t="str">
        <f>"Line "&amp;$A$30</f>
        <v>Line 13</v>
      </c>
      <c r="H11" s="10">
        <f>+NPV(Discount_Rate,J11:S11)*(1+Discount_Rate)^-0.5</f>
        <v>157528.34726461224</v>
      </c>
      <c r="I11" s="11">
        <f>SUM(J11:S11)</f>
        <v>231689.53298257184</v>
      </c>
      <c r="J11" s="11">
        <f t="shared" ref="J11:S11" si="2">J30</f>
        <v>18832.573544199015</v>
      </c>
      <c r="K11" s="11">
        <f t="shared" si="2"/>
        <v>21493.126385784417</v>
      </c>
      <c r="L11" s="11">
        <f t="shared" si="2"/>
        <v>21604.558937673781</v>
      </c>
      <c r="M11" s="11">
        <f t="shared" si="2"/>
        <v>22466.571576098711</v>
      </c>
      <c r="N11" s="11">
        <f t="shared" si="2"/>
        <v>23053.860733010253</v>
      </c>
      <c r="O11" s="11">
        <f t="shared" si="2"/>
        <v>23644.575807964578</v>
      </c>
      <c r="P11" s="11">
        <f t="shared" si="2"/>
        <v>24349.205595747175</v>
      </c>
      <c r="Q11" s="11">
        <f t="shared" si="2"/>
        <v>24993.446333883625</v>
      </c>
      <c r="R11" s="11">
        <f t="shared" si="2"/>
        <v>25554.117495345548</v>
      </c>
      <c r="S11" s="11">
        <f t="shared" si="2"/>
        <v>25697.49657286474</v>
      </c>
    </row>
    <row r="12" spans="1:20" ht="30" customHeight="1">
      <c r="A12" s="20">
        <f t="shared" si="1"/>
        <v>2</v>
      </c>
      <c r="D12" s="35" t="str">
        <f>"Less: "&amp;$A$40</f>
        <v>Less: Status Quo (Retain Legacy Agreements)</v>
      </c>
      <c r="E12" s="36"/>
      <c r="F12" s="23" t="str">
        <f>"(Line "&amp;$A$54&amp;")"</f>
        <v>(Line 27)</v>
      </c>
      <c r="H12" s="10">
        <f>+NPV(Discount_Rate,J12:S12)*(1+Discount_Rate)^-0.5</f>
        <v>-159161.82490836945</v>
      </c>
      <c r="I12" s="11">
        <f>SUM(J12:S12)</f>
        <v>-233005.80000000002</v>
      </c>
      <c r="J12" s="6">
        <f t="shared" ref="J12:S12" si="3">-J54</f>
        <v>-20770.850000000002</v>
      </c>
      <c r="K12" s="6">
        <f t="shared" si="3"/>
        <v>-21590.9</v>
      </c>
      <c r="L12" s="6">
        <f t="shared" si="3"/>
        <v>-22177.360000000001</v>
      </c>
      <c r="M12" s="6">
        <f t="shared" si="3"/>
        <v>-22734.000000000004</v>
      </c>
      <c r="N12" s="6">
        <f t="shared" si="3"/>
        <v>-23121.660000000003</v>
      </c>
      <c r="O12" s="6">
        <f t="shared" si="3"/>
        <v>-23573.930000000004</v>
      </c>
      <c r="P12" s="6">
        <f t="shared" si="3"/>
        <v>-24090.81</v>
      </c>
      <c r="Q12" s="6">
        <f t="shared" si="3"/>
        <v>-24572.9</v>
      </c>
      <c r="R12" s="6">
        <f t="shared" si="3"/>
        <v>-24995.350000000002</v>
      </c>
      <c r="S12" s="6">
        <f t="shared" si="3"/>
        <v>-25378.04</v>
      </c>
    </row>
    <row r="13" spans="1:20" s="1" customFormat="1" ht="3" customHeight="1">
      <c r="C13" s="7"/>
      <c r="D13" s="19"/>
      <c r="E13" s="2"/>
      <c r="F13" s="11"/>
      <c r="H13" s="2"/>
      <c r="I13" s="8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20" ht="15.75" thickBot="1">
      <c r="A14" s="20">
        <f>A12+1</f>
        <v>3</v>
      </c>
      <c r="D14" s="18" t="s">
        <v>38</v>
      </c>
      <c r="F14" s="23" t="str">
        <f>"Sum ("&amp;A11&amp;") - ("&amp;A12&amp;")"</f>
        <v>Sum (1) - (2)</v>
      </c>
      <c r="H14" s="24">
        <f t="shared" ref="H14:S14" si="4">SUM(H11:H13)</f>
        <v>-1633.4776437572145</v>
      </c>
      <c r="I14" s="24">
        <f t="shared" si="4"/>
        <v>-1316.2670174281811</v>
      </c>
      <c r="J14" s="24">
        <f t="shared" si="4"/>
        <v>-1938.2764558009876</v>
      </c>
      <c r="K14" s="24">
        <f t="shared" si="4"/>
        <v>-97.77361421558453</v>
      </c>
      <c r="L14" s="24">
        <f t="shared" si="4"/>
        <v>-572.80106232621984</v>
      </c>
      <c r="M14" s="24">
        <f t="shared" si="4"/>
        <v>-267.42842390129226</v>
      </c>
      <c r="N14" s="24">
        <f t="shared" si="4"/>
        <v>-67.799266989750322</v>
      </c>
      <c r="O14" s="24">
        <f t="shared" si="4"/>
        <v>70.645807964574487</v>
      </c>
      <c r="P14" s="24">
        <f t="shared" si="4"/>
        <v>258.3955957471735</v>
      </c>
      <c r="Q14" s="24">
        <f t="shared" si="4"/>
        <v>420.54633388362345</v>
      </c>
      <c r="R14" s="24">
        <f t="shared" si="4"/>
        <v>558.76749534554619</v>
      </c>
      <c r="S14" s="24">
        <f t="shared" si="4"/>
        <v>319.45657286473943</v>
      </c>
    </row>
    <row r="15" spans="1:20" ht="15.75" thickTop="1"/>
    <row r="16" spans="1:20" s="21" customFormat="1" ht="15.75">
      <c r="A16" s="34" t="s">
        <v>30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19" s="1" customFormat="1" ht="3" customHeight="1">
      <c r="C17" s="7"/>
      <c r="D17" s="19"/>
      <c r="E17" s="2"/>
      <c r="F17" s="11"/>
      <c r="H17" s="2"/>
      <c r="I17" s="8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s="1" customFormat="1">
      <c r="A18" s="20">
        <f>A14+1</f>
        <v>4</v>
      </c>
      <c r="C18" s="2" t="s">
        <v>0</v>
      </c>
      <c r="H18" s="10">
        <f t="shared" ref="H18:H24" si="5">+NPV(Discount_Rate,J18:S18)*(1+Discount_Rate)^-0.5</f>
        <v>0</v>
      </c>
      <c r="I18" s="11">
        <f t="shared" ref="I18:I24" si="6">SUM(J18:S18)</f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</row>
    <row r="19" spans="1:19" s="1" customFormat="1">
      <c r="A19" s="20">
        <f>A18+1</f>
        <v>5</v>
      </c>
      <c r="C19" s="2" t="s">
        <v>25</v>
      </c>
      <c r="H19" s="10">
        <f t="shared" si="5"/>
        <v>12903.127000876306</v>
      </c>
      <c r="I19" s="11">
        <f t="shared" si="6"/>
        <v>18675.959999999992</v>
      </c>
      <c r="J19" s="11">
        <v>1867.5960000000014</v>
      </c>
      <c r="K19" s="11">
        <v>1867.5959999999977</v>
      </c>
      <c r="L19" s="11">
        <v>1867.5959999999977</v>
      </c>
      <c r="M19" s="11">
        <v>1867.5960000000014</v>
      </c>
      <c r="N19" s="11">
        <v>1867.5959999999977</v>
      </c>
      <c r="O19" s="11">
        <v>1867.5959999999977</v>
      </c>
      <c r="P19" s="11">
        <v>1867.5960000000014</v>
      </c>
      <c r="Q19" s="11">
        <v>1867.5960000000014</v>
      </c>
      <c r="R19" s="11">
        <v>1867.5959999999977</v>
      </c>
      <c r="S19" s="11">
        <v>1867.5959999999977</v>
      </c>
    </row>
    <row r="20" spans="1:19" s="1" customFormat="1">
      <c r="A20" s="20">
        <f t="shared" ref="A20:A24" si="7">A19+1</f>
        <v>6</v>
      </c>
      <c r="C20" s="2" t="s">
        <v>26</v>
      </c>
      <c r="H20" s="10">
        <f t="shared" si="5"/>
        <v>144944.9706122535</v>
      </c>
      <c r="I20" s="11">
        <f t="shared" si="6"/>
        <v>213531.51999999999</v>
      </c>
      <c r="J20" s="11">
        <v>17133.320000000003</v>
      </c>
      <c r="K20" s="11">
        <v>19556.269999999997</v>
      </c>
      <c r="L20" s="11">
        <v>19701.089999999997</v>
      </c>
      <c r="M20" s="11">
        <v>20592.289999999997</v>
      </c>
      <c r="N20" s="11">
        <v>21204.989999999998</v>
      </c>
      <c r="O20" s="11">
        <v>21817.690000000002</v>
      </c>
      <c r="P20" s="11">
        <v>22541.789999999997</v>
      </c>
      <c r="Q20" s="11">
        <v>23204.62</v>
      </c>
      <c r="R20" s="11">
        <v>23783.9</v>
      </c>
      <c r="S20" s="11">
        <v>23995.559999999998</v>
      </c>
    </row>
    <row r="21" spans="1:19" s="1" customFormat="1">
      <c r="A21" s="20">
        <f t="shared" si="7"/>
        <v>7</v>
      </c>
      <c r="C21" s="2" t="s">
        <v>22</v>
      </c>
      <c r="H21" s="10">
        <f t="shared" si="5"/>
        <v>64.130145950432734</v>
      </c>
      <c r="I21" s="11">
        <f t="shared" si="6"/>
        <v>99.391418329705161</v>
      </c>
      <c r="J21" s="11">
        <v>4.342630000000006</v>
      </c>
      <c r="K21" s="11">
        <v>5.5862992962156746</v>
      </c>
      <c r="L21" s="11">
        <v>6.8299685924313422</v>
      </c>
      <c r="M21" s="11">
        <v>8.0736378886470099</v>
      </c>
      <c r="N21" s="11">
        <v>9.3173071848626794</v>
      </c>
      <c r="O21" s="11">
        <v>10.560976481078352</v>
      </c>
      <c r="P21" s="11">
        <v>11.804645777294024</v>
      </c>
      <c r="Q21" s="11">
        <v>13.04831507350969</v>
      </c>
      <c r="R21" s="11">
        <v>14.291984369725355</v>
      </c>
      <c r="S21" s="11">
        <v>15.535653665941023</v>
      </c>
    </row>
    <row r="22" spans="1:19" s="1" customFormat="1">
      <c r="A22" s="20">
        <f t="shared" si="7"/>
        <v>8</v>
      </c>
      <c r="C22" s="2" t="s">
        <v>1</v>
      </c>
      <c r="D22" s="2"/>
      <c r="E22" s="2"/>
      <c r="F22" s="2"/>
      <c r="H22" s="10">
        <f t="shared" si="5"/>
        <v>-933.96181835069331</v>
      </c>
      <c r="I22" s="11">
        <f t="shared" si="6"/>
        <v>-1351.8144524083352</v>
      </c>
      <c r="J22" s="11">
        <v>-135.18144524083354</v>
      </c>
      <c r="K22" s="11">
        <v>-135.18144524083354</v>
      </c>
      <c r="L22" s="11">
        <v>-135.18144524083354</v>
      </c>
      <c r="M22" s="11">
        <v>-135.18144524083354</v>
      </c>
      <c r="N22" s="11">
        <v>-135.18144524083354</v>
      </c>
      <c r="O22" s="11">
        <v>-135.18144524083354</v>
      </c>
      <c r="P22" s="11">
        <v>-135.18144524083354</v>
      </c>
      <c r="Q22" s="11">
        <v>-135.18144524083354</v>
      </c>
      <c r="R22" s="11">
        <v>-135.18144524083354</v>
      </c>
      <c r="S22" s="11">
        <v>-135.18144524083354</v>
      </c>
    </row>
    <row r="23" spans="1:19" s="1" customFormat="1">
      <c r="A23" s="20">
        <f t="shared" si="7"/>
        <v>9</v>
      </c>
      <c r="C23" t="s">
        <v>23</v>
      </c>
      <c r="D23"/>
      <c r="E23"/>
      <c r="F23"/>
      <c r="H23" s="10">
        <f t="shared" si="5"/>
        <v>1966.585949451525</v>
      </c>
      <c r="I23" s="11">
        <f t="shared" si="6"/>
        <v>2795.7245185084348</v>
      </c>
      <c r="J23" s="11">
        <v>186.22255892029617</v>
      </c>
      <c r="K23" s="11">
        <v>383.74806088674899</v>
      </c>
      <c r="L23" s="11">
        <v>354.98541698029425</v>
      </c>
      <c r="M23" s="11">
        <v>329.73001975674396</v>
      </c>
      <c r="N23" s="11">
        <v>307.62817230485621</v>
      </c>
      <c r="O23" s="11">
        <v>288.38710869389701</v>
      </c>
      <c r="P23" s="11">
        <v>271.24593472825319</v>
      </c>
      <c r="Q23" s="11">
        <v>254.84039089313379</v>
      </c>
      <c r="R23" s="11">
        <v>238.41849972178056</v>
      </c>
      <c r="S23" s="11">
        <v>180.51835562243116</v>
      </c>
    </row>
    <row r="24" spans="1:19" s="2" customFormat="1">
      <c r="A24" s="20">
        <f t="shared" si="7"/>
        <v>10</v>
      </c>
      <c r="C24" s="5" t="s">
        <v>5</v>
      </c>
      <c r="D24" s="5"/>
      <c r="E24" s="5"/>
      <c r="F24" s="5"/>
      <c r="H24" s="10">
        <f t="shared" si="5"/>
        <v>804.09125425919979</v>
      </c>
      <c r="I24" s="11">
        <f t="shared" si="6"/>
        <v>1143.1067303606085</v>
      </c>
      <c r="J24" s="6">
        <v>76.142073025254831</v>
      </c>
      <c r="K24" s="6">
        <v>156.9056565689491</v>
      </c>
      <c r="L24" s="6">
        <v>145.14528046079965</v>
      </c>
      <c r="M24" s="6">
        <v>134.81893594686562</v>
      </c>
      <c r="N24" s="6">
        <v>125.78200458671313</v>
      </c>
      <c r="O24" s="6">
        <v>117.91478120065551</v>
      </c>
      <c r="P24" s="6">
        <v>110.90615384960898</v>
      </c>
      <c r="Q24" s="6">
        <v>104.1983085490441</v>
      </c>
      <c r="R24" s="6">
        <v>97.483779202912956</v>
      </c>
      <c r="S24" s="6">
        <v>73.809756969804539</v>
      </c>
    </row>
    <row r="25" spans="1:19" s="1" customFormat="1" ht="3" customHeight="1">
      <c r="C25" s="7"/>
      <c r="D25" s="19"/>
      <c r="E25" s="2"/>
      <c r="F25" s="11"/>
      <c r="H25" s="2"/>
      <c r="I25" s="8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s="1" customFormat="1">
      <c r="A26" s="20">
        <f>A24+1</f>
        <v>11</v>
      </c>
      <c r="C26" s="9" t="s">
        <v>28</v>
      </c>
      <c r="D26" s="2"/>
      <c r="E26" s="2"/>
      <c r="F26" s="23" t="str">
        <f>"Sum ("&amp;$A$18&amp;") - ("&amp;$A$24&amp;")"</f>
        <v>Sum (4) - (10)</v>
      </c>
      <c r="H26" s="17">
        <f>SUM(H18:H24)</f>
        <v>159748.94314444027</v>
      </c>
      <c r="I26" s="17">
        <f>SUM(I18:I24)</f>
        <v>234893.88821479038</v>
      </c>
      <c r="J26" s="17">
        <f>SUM(J18:J24)</f>
        <v>19132.441816704722</v>
      </c>
      <c r="K26" s="17">
        <f t="shared" ref="K26:S26" si="8">SUM(K18:K24)</f>
        <v>21834.924571511077</v>
      </c>
      <c r="L26" s="17">
        <f t="shared" si="8"/>
        <v>21940.465220792685</v>
      </c>
      <c r="M26" s="17">
        <f t="shared" si="8"/>
        <v>22797.327148351425</v>
      </c>
      <c r="N26" s="17">
        <f t="shared" si="8"/>
        <v>23380.132038835593</v>
      </c>
      <c r="O26" s="17">
        <f t="shared" si="8"/>
        <v>23966.967421134799</v>
      </c>
      <c r="P26" s="17">
        <f t="shared" si="8"/>
        <v>24668.161289114323</v>
      </c>
      <c r="Q26" s="17">
        <f t="shared" si="8"/>
        <v>25309.121569274852</v>
      </c>
      <c r="R26" s="17">
        <f t="shared" si="8"/>
        <v>25866.508818053586</v>
      </c>
      <c r="S26" s="17">
        <f t="shared" si="8"/>
        <v>25997.838321017342</v>
      </c>
    </row>
    <row r="27" spans="1:19" s="1" customFormat="1" ht="3" customHeight="1">
      <c r="C27" s="7"/>
      <c r="D27" s="19"/>
      <c r="E27" s="2"/>
      <c r="F27" s="11"/>
      <c r="H27" s="2"/>
      <c r="I27" s="8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s="2" customFormat="1">
      <c r="A28" s="20">
        <f>A26+1</f>
        <v>12</v>
      </c>
      <c r="C28" s="5" t="s">
        <v>35</v>
      </c>
      <c r="D28" s="5"/>
      <c r="E28" s="5"/>
      <c r="F28" s="23" t="str">
        <f>"(Line "&amp;A38&amp;")"</f>
        <v>(Line 17)</v>
      </c>
      <c r="H28" s="10">
        <f>+NPV(Discount_Rate,J28:S28)*(1+Discount_Rate)^-0.5</f>
        <v>-2220.5958798280162</v>
      </c>
      <c r="I28" s="11">
        <f>SUM(J28:S28)</f>
        <v>-3204.3552322185619</v>
      </c>
      <c r="J28" s="6">
        <f t="shared" ref="J28:S28" si="9">-J38</f>
        <v>-299.86827250570786</v>
      </c>
      <c r="K28" s="6">
        <f t="shared" si="9"/>
        <v>-341.7981857266621</v>
      </c>
      <c r="L28" s="6">
        <f t="shared" si="9"/>
        <v>-335.90628311890322</v>
      </c>
      <c r="M28" s="6">
        <f t="shared" si="9"/>
        <v>-330.75557225271422</v>
      </c>
      <c r="N28" s="6">
        <f t="shared" si="9"/>
        <v>-326.2713058253392</v>
      </c>
      <c r="O28" s="6">
        <f t="shared" si="9"/>
        <v>-322.3916131702195</v>
      </c>
      <c r="P28" s="6">
        <f t="shared" si="9"/>
        <v>-318.95569336714885</v>
      </c>
      <c r="Q28" s="6">
        <f t="shared" si="9"/>
        <v>-315.67523539122794</v>
      </c>
      <c r="R28" s="6">
        <f t="shared" si="9"/>
        <v>-312.39132270803765</v>
      </c>
      <c r="S28" s="6">
        <f t="shared" si="9"/>
        <v>-300.34174815260155</v>
      </c>
    </row>
    <row r="29" spans="1:19" s="1" customFormat="1" ht="3" customHeight="1">
      <c r="C29" s="7"/>
      <c r="D29" s="19"/>
      <c r="E29" s="2"/>
      <c r="F29" s="11"/>
      <c r="H29" s="2"/>
      <c r="I29" s="8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s="1" customFormat="1" ht="15.75" thickBot="1">
      <c r="A30" s="20">
        <f>A28+1</f>
        <v>13</v>
      </c>
      <c r="C30" s="9" t="s">
        <v>6</v>
      </c>
      <c r="D30" s="2"/>
      <c r="E30" s="2"/>
      <c r="F30" s="23" t="str">
        <f>"Sum ("&amp;$A$26&amp;") - ("&amp;$A$28&amp;")"</f>
        <v>Sum (11) - (12)</v>
      </c>
      <c r="H30" s="12">
        <f t="shared" ref="H30:I30" si="10">SUM(H26:H28)</f>
        <v>157528.34726461227</v>
      </c>
      <c r="I30" s="12">
        <f t="shared" si="10"/>
        <v>231689.53298257181</v>
      </c>
      <c r="J30" s="12">
        <f>SUM(J26:J28)</f>
        <v>18832.573544199015</v>
      </c>
      <c r="K30" s="12">
        <f t="shared" ref="K30:S30" si="11">SUM(K26:K28)</f>
        <v>21493.126385784417</v>
      </c>
      <c r="L30" s="12">
        <f t="shared" si="11"/>
        <v>21604.558937673781</v>
      </c>
      <c r="M30" s="12">
        <f t="shared" si="11"/>
        <v>22466.571576098711</v>
      </c>
      <c r="N30" s="12">
        <f t="shared" si="11"/>
        <v>23053.860733010253</v>
      </c>
      <c r="O30" s="12">
        <f t="shared" si="11"/>
        <v>23644.575807964578</v>
      </c>
      <c r="P30" s="12">
        <f t="shared" si="11"/>
        <v>24349.205595747175</v>
      </c>
      <c r="Q30" s="12">
        <f t="shared" si="11"/>
        <v>24993.446333883625</v>
      </c>
      <c r="R30" s="12">
        <f t="shared" si="11"/>
        <v>25554.117495345548</v>
      </c>
      <c r="S30" s="12">
        <f t="shared" si="11"/>
        <v>25697.49657286474</v>
      </c>
    </row>
    <row r="31" spans="1:19" ht="15.75" thickTop="1"/>
    <row r="32" spans="1:19">
      <c r="C32" t="s">
        <v>24</v>
      </c>
    </row>
    <row r="33" spans="1:20">
      <c r="A33" s="20">
        <f>A30+1</f>
        <v>14</v>
      </c>
      <c r="D33" s="1" t="str">
        <f>C26</f>
        <v>Gross Revenue Requirements</v>
      </c>
      <c r="F33" s="23" t="str">
        <f>"Line "&amp;$A$26</f>
        <v>Line 11</v>
      </c>
      <c r="H33" s="10">
        <f>+NPV(Discount_Rate,J33:S33)*(1+Discount_Rate)^-0.5</f>
        <v>159748.9431444403</v>
      </c>
      <c r="I33" s="11">
        <f>SUM(J33:S33)</f>
        <v>234893.88821479038</v>
      </c>
      <c r="J33" s="11">
        <f t="shared" ref="J33:S33" si="12">J26</f>
        <v>19132.441816704722</v>
      </c>
      <c r="K33" s="11">
        <f t="shared" si="12"/>
        <v>21834.924571511077</v>
      </c>
      <c r="L33" s="11">
        <f t="shared" si="12"/>
        <v>21940.465220792685</v>
      </c>
      <c r="M33" s="11">
        <f t="shared" si="12"/>
        <v>22797.327148351425</v>
      </c>
      <c r="N33" s="11">
        <f t="shared" si="12"/>
        <v>23380.132038835593</v>
      </c>
      <c r="O33" s="11">
        <f t="shared" si="12"/>
        <v>23966.967421134799</v>
      </c>
      <c r="P33" s="11">
        <f t="shared" si="12"/>
        <v>24668.161289114323</v>
      </c>
      <c r="Q33" s="11">
        <f t="shared" si="12"/>
        <v>25309.121569274852</v>
      </c>
      <c r="R33" s="11">
        <f t="shared" si="12"/>
        <v>25866.508818053586</v>
      </c>
      <c r="S33" s="11">
        <f t="shared" si="12"/>
        <v>25997.838321017342</v>
      </c>
    </row>
    <row r="34" spans="1:20">
      <c r="A34" s="20">
        <f t="shared" ref="A34" si="13">A33+1</f>
        <v>15</v>
      </c>
      <c r="D34" t="s">
        <v>29</v>
      </c>
      <c r="F34" s="23" t="str">
        <f>"Line "&amp;$A$20</f>
        <v>Line 6</v>
      </c>
      <c r="H34" s="10">
        <f>+NPV(Discount_Rate,J34:S34)*(1+Discount_Rate)^-0.5</f>
        <v>-144944.9706122535</v>
      </c>
      <c r="I34" s="11">
        <f>SUM(J34:S34)</f>
        <v>-213531.51999999999</v>
      </c>
      <c r="J34" s="11">
        <f t="shared" ref="J34:S34" si="14">-J20</f>
        <v>-17133.320000000003</v>
      </c>
      <c r="K34" s="11">
        <f t="shared" si="14"/>
        <v>-19556.269999999997</v>
      </c>
      <c r="L34" s="11">
        <f t="shared" si="14"/>
        <v>-19701.089999999997</v>
      </c>
      <c r="M34" s="11">
        <f t="shared" si="14"/>
        <v>-20592.289999999997</v>
      </c>
      <c r="N34" s="11">
        <f t="shared" si="14"/>
        <v>-21204.989999999998</v>
      </c>
      <c r="O34" s="11">
        <f t="shared" si="14"/>
        <v>-21817.690000000002</v>
      </c>
      <c r="P34" s="11">
        <f t="shared" si="14"/>
        <v>-22541.789999999997</v>
      </c>
      <c r="Q34" s="11">
        <f t="shared" si="14"/>
        <v>-23204.62</v>
      </c>
      <c r="R34" s="11">
        <f t="shared" si="14"/>
        <v>-23783.9</v>
      </c>
      <c r="S34" s="11">
        <f t="shared" si="14"/>
        <v>-23995.559999999998</v>
      </c>
    </row>
    <row r="35" spans="1:20" s="1" customFormat="1" ht="3" customHeight="1">
      <c r="C35" s="7"/>
      <c r="D35" s="19"/>
      <c r="E35" s="2"/>
      <c r="F35" s="11"/>
      <c r="H35" s="2"/>
      <c r="I35" s="8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20">
      <c r="A36" s="20">
        <f>A34+1</f>
        <v>16</v>
      </c>
      <c r="C36" s="1" t="str">
        <f>C32</f>
        <v>FERC Revenue Requirement</v>
      </c>
      <c r="F36" s="23" t="str">
        <f>"Sum ("&amp;A33&amp;") - ("&amp;A34&amp;")"</f>
        <v>Sum (14) - (15)</v>
      </c>
      <c r="H36" s="17">
        <f t="shared" ref="H36:I36" si="15">SUM(H33:H34)</f>
        <v>14803.972532186803</v>
      </c>
      <c r="I36" s="17">
        <f t="shared" si="15"/>
        <v>21362.368214790389</v>
      </c>
      <c r="J36" s="17">
        <f t="shared" ref="J36:S36" si="16">SUM(J33:J34)</f>
        <v>1999.1218167047191</v>
      </c>
      <c r="K36" s="17">
        <f t="shared" si="16"/>
        <v>2278.6545715110806</v>
      </c>
      <c r="L36" s="17">
        <f t="shared" si="16"/>
        <v>2239.3752207926882</v>
      </c>
      <c r="M36" s="17">
        <f t="shared" si="16"/>
        <v>2205.0371483514282</v>
      </c>
      <c r="N36" s="17">
        <f t="shared" si="16"/>
        <v>2175.1420388355946</v>
      </c>
      <c r="O36" s="17">
        <f t="shared" si="16"/>
        <v>2149.2774211347969</v>
      </c>
      <c r="P36" s="17">
        <f t="shared" si="16"/>
        <v>2126.3712891143259</v>
      </c>
      <c r="Q36" s="17">
        <f t="shared" si="16"/>
        <v>2104.501569274853</v>
      </c>
      <c r="R36" s="17">
        <f t="shared" si="16"/>
        <v>2082.6088180535844</v>
      </c>
      <c r="S36" s="17">
        <f t="shared" si="16"/>
        <v>2002.2783210173438</v>
      </c>
    </row>
    <row r="37" spans="1:20" s="1" customFormat="1" ht="3" customHeight="1">
      <c r="C37" s="7"/>
      <c r="D37" s="19"/>
      <c r="E37" s="2"/>
      <c r="F37" s="11"/>
      <c r="H37" s="2"/>
      <c r="I37" s="8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20">
      <c r="A38" s="20">
        <f>A36+1</f>
        <v>17</v>
      </c>
      <c r="C38" t="str">
        <f>"Transmission Revenue Credits - "&amp;'FERC Revenue'!$F$19*100&amp;"%"</f>
        <v>Transmission Revenue Credits - 15%</v>
      </c>
      <c r="F38" s="23" t="str">
        <f>"Line "&amp;$A$36&amp;" X "&amp;'FERC Revenue'!$F$19*100&amp;"%"</f>
        <v>Line 16 X 15%</v>
      </c>
      <c r="H38" s="10">
        <f>+NPV(Discount_Rate,J38:S38)*(1+Discount_Rate)^-0.5</f>
        <v>2220.5958798280162</v>
      </c>
      <c r="I38" s="11">
        <f>SUM(J38:S38)</f>
        <v>3204.3552322185619</v>
      </c>
      <c r="J38" s="11">
        <f>J36*'FERC Revenue'!$F$19</f>
        <v>299.86827250570786</v>
      </c>
      <c r="K38" s="11">
        <f>K36*'FERC Revenue'!$F$19</f>
        <v>341.7981857266621</v>
      </c>
      <c r="L38" s="11">
        <f>L36*'FERC Revenue'!$F$19</f>
        <v>335.90628311890322</v>
      </c>
      <c r="M38" s="11">
        <f>M36*'FERC Revenue'!$F$19</f>
        <v>330.75557225271422</v>
      </c>
      <c r="N38" s="11">
        <f>N36*'FERC Revenue'!$F$19</f>
        <v>326.2713058253392</v>
      </c>
      <c r="O38" s="11">
        <f>O36*'FERC Revenue'!$F$19</f>
        <v>322.3916131702195</v>
      </c>
      <c r="P38" s="11">
        <f>P36*'FERC Revenue'!$F$19</f>
        <v>318.95569336714885</v>
      </c>
      <c r="Q38" s="11">
        <f>Q36*'FERC Revenue'!$F$19</f>
        <v>315.67523539122794</v>
      </c>
      <c r="R38" s="11">
        <f>R36*'FERC Revenue'!$F$19</f>
        <v>312.39132270803765</v>
      </c>
      <c r="S38" s="11">
        <f>S36*'FERC Revenue'!$F$19</f>
        <v>300.34174815260155</v>
      </c>
    </row>
    <row r="40" spans="1:20" s="21" customFormat="1" ht="15.75">
      <c r="A40" s="34" t="s">
        <v>36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0" s="1" customFormat="1" ht="3" customHeight="1">
      <c r="C41" s="7"/>
      <c r="D41" s="19"/>
      <c r="E41" s="2"/>
      <c r="F41" s="11"/>
      <c r="H41" s="2"/>
      <c r="I41" s="8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20" s="1" customFormat="1">
      <c r="A42" s="20">
        <f>A38+1</f>
        <v>18</v>
      </c>
      <c r="C42" s="2" t="s">
        <v>0</v>
      </c>
      <c r="H42" s="10">
        <f t="shared" ref="H42:H48" si="17">+NPV(Discount_Rate,J42:S42)*(1+Discount_Rate)^-0.5</f>
        <v>0</v>
      </c>
      <c r="I42" s="11">
        <f t="shared" ref="I42:I48" si="18">SUM(J42:S42)</f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</row>
    <row r="43" spans="1:20" s="1" customFormat="1">
      <c r="A43" s="20">
        <f>A42+1</f>
        <v>19</v>
      </c>
      <c r="C43" s="2" t="s">
        <v>25</v>
      </c>
      <c r="H43" s="10">
        <f t="shared" si="17"/>
        <v>0</v>
      </c>
      <c r="I43" s="11">
        <f t="shared" si="18"/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</row>
    <row r="44" spans="1:20" s="1" customFormat="1">
      <c r="A44" s="20">
        <f t="shared" ref="A44:A48" si="19">A43+1</f>
        <v>20</v>
      </c>
      <c r="C44" s="2" t="s">
        <v>26</v>
      </c>
      <c r="H44" s="10">
        <f t="shared" si="17"/>
        <v>159161.82490836945</v>
      </c>
      <c r="I44" s="11">
        <f t="shared" si="18"/>
        <v>233005.80000000002</v>
      </c>
      <c r="J44" s="11">
        <v>20770.850000000002</v>
      </c>
      <c r="K44" s="11">
        <v>21590.9</v>
      </c>
      <c r="L44" s="11">
        <v>22177.360000000001</v>
      </c>
      <c r="M44" s="11">
        <v>22734.000000000004</v>
      </c>
      <c r="N44" s="11">
        <v>23121.660000000003</v>
      </c>
      <c r="O44" s="11">
        <v>23573.930000000004</v>
      </c>
      <c r="P44" s="11">
        <v>24090.81</v>
      </c>
      <c r="Q44" s="11">
        <v>24572.9</v>
      </c>
      <c r="R44" s="11">
        <v>24995.350000000002</v>
      </c>
      <c r="S44" s="11">
        <v>25378.04</v>
      </c>
    </row>
    <row r="45" spans="1:20" s="1" customFormat="1">
      <c r="A45" s="20">
        <f t="shared" si="19"/>
        <v>21</v>
      </c>
      <c r="C45" s="2" t="s">
        <v>22</v>
      </c>
      <c r="H45" s="10">
        <f t="shared" si="17"/>
        <v>0</v>
      </c>
      <c r="I45" s="11">
        <f t="shared" si="18"/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</row>
    <row r="46" spans="1:20" s="1" customFormat="1">
      <c r="A46" s="20">
        <f t="shared" si="19"/>
        <v>22</v>
      </c>
      <c r="C46" s="2" t="s">
        <v>1</v>
      </c>
      <c r="D46" s="2"/>
      <c r="E46" s="2"/>
      <c r="F46" s="2"/>
      <c r="H46" s="10">
        <f t="shared" si="17"/>
        <v>0</v>
      </c>
      <c r="I46" s="11">
        <f t="shared" si="18"/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</row>
    <row r="47" spans="1:20" s="1" customFormat="1">
      <c r="A47" s="20">
        <f t="shared" si="19"/>
        <v>23</v>
      </c>
      <c r="C47" t="s">
        <v>23</v>
      </c>
      <c r="D47"/>
      <c r="E47"/>
      <c r="F47"/>
      <c r="H47" s="10">
        <f t="shared" si="17"/>
        <v>0</v>
      </c>
      <c r="I47" s="11">
        <f t="shared" si="18"/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</row>
    <row r="48" spans="1:20" s="2" customFormat="1">
      <c r="A48" s="20">
        <f t="shared" si="19"/>
        <v>24</v>
      </c>
      <c r="C48" s="5" t="s">
        <v>5</v>
      </c>
      <c r="D48" s="5"/>
      <c r="E48" s="5"/>
      <c r="F48" s="5"/>
      <c r="H48" s="10">
        <f t="shared" si="17"/>
        <v>0</v>
      </c>
      <c r="I48" s="11">
        <f t="shared" si="18"/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</row>
    <row r="49" spans="1:19" s="1" customFormat="1" ht="3" customHeight="1">
      <c r="C49" s="7"/>
      <c r="D49" s="19"/>
      <c r="E49" s="2"/>
      <c r="F49" s="11"/>
      <c r="H49" s="2"/>
      <c r="I49" s="8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s="1" customFormat="1">
      <c r="A50" s="20">
        <f>A48+1</f>
        <v>25</v>
      </c>
      <c r="C50" s="9" t="s">
        <v>28</v>
      </c>
      <c r="D50" s="2"/>
      <c r="E50" s="2"/>
      <c r="F50" s="23" t="str">
        <f>"Sum ("&amp;$A$42&amp;") - ("&amp;$A$48&amp;")"</f>
        <v>Sum (18) - (24)</v>
      </c>
      <c r="H50" s="17">
        <f>SUM(H42:H48)</f>
        <v>159161.82490836945</v>
      </c>
      <c r="I50" s="17">
        <f>SUM(I42:I48)</f>
        <v>233005.80000000002</v>
      </c>
      <c r="J50" s="17">
        <f>SUM(J42:J48)</f>
        <v>20770.850000000002</v>
      </c>
      <c r="K50" s="17">
        <f t="shared" ref="K50:S50" si="20">SUM(K42:K48)</f>
        <v>21590.9</v>
      </c>
      <c r="L50" s="17">
        <f t="shared" si="20"/>
        <v>22177.360000000001</v>
      </c>
      <c r="M50" s="17">
        <f t="shared" si="20"/>
        <v>22734.000000000004</v>
      </c>
      <c r="N50" s="17">
        <f t="shared" si="20"/>
        <v>23121.660000000003</v>
      </c>
      <c r="O50" s="17">
        <f t="shared" si="20"/>
        <v>23573.930000000004</v>
      </c>
      <c r="P50" s="17">
        <f t="shared" si="20"/>
        <v>24090.81</v>
      </c>
      <c r="Q50" s="17">
        <f t="shared" si="20"/>
        <v>24572.9</v>
      </c>
      <c r="R50" s="17">
        <f t="shared" si="20"/>
        <v>24995.350000000002</v>
      </c>
      <c r="S50" s="17">
        <f t="shared" si="20"/>
        <v>25378.04</v>
      </c>
    </row>
    <row r="51" spans="1:19" s="1" customFormat="1" ht="3" customHeight="1">
      <c r="C51" s="7"/>
      <c r="D51" s="19"/>
      <c r="E51" s="2"/>
      <c r="F51" s="11"/>
      <c r="H51" s="2"/>
      <c r="I51" s="8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s="2" customFormat="1">
      <c r="A52" s="20">
        <f>A50+1</f>
        <v>26</v>
      </c>
      <c r="C52" s="5" t="s">
        <v>35</v>
      </c>
      <c r="D52" s="5"/>
      <c r="E52" s="5"/>
      <c r="F52" s="23" t="str">
        <f>"(Line "&amp;A62&amp;")"</f>
        <v>(Line 31)</v>
      </c>
      <c r="H52" s="10">
        <f>+NPV(Discount_Rate,J52:S52)*(1+Discount_Rate)^-0.5</f>
        <v>0</v>
      </c>
      <c r="I52" s="11">
        <f>SUM(J52:S52)</f>
        <v>0</v>
      </c>
      <c r="J52" s="6">
        <f t="shared" ref="J52:S52" si="21">-J62</f>
        <v>0</v>
      </c>
      <c r="K52" s="6">
        <f t="shared" si="21"/>
        <v>0</v>
      </c>
      <c r="L52" s="6">
        <f t="shared" si="21"/>
        <v>0</v>
      </c>
      <c r="M52" s="6">
        <f t="shared" si="21"/>
        <v>0</v>
      </c>
      <c r="N52" s="6">
        <f t="shared" si="21"/>
        <v>0</v>
      </c>
      <c r="O52" s="6">
        <f t="shared" si="21"/>
        <v>0</v>
      </c>
      <c r="P52" s="6">
        <f t="shared" si="21"/>
        <v>0</v>
      </c>
      <c r="Q52" s="6">
        <f t="shared" si="21"/>
        <v>0</v>
      </c>
      <c r="R52" s="6">
        <f t="shared" si="21"/>
        <v>0</v>
      </c>
      <c r="S52" s="6">
        <f t="shared" si="21"/>
        <v>0</v>
      </c>
    </row>
    <row r="53" spans="1:19" s="1" customFormat="1" ht="3" customHeight="1">
      <c r="C53" s="7"/>
      <c r="D53" s="19"/>
      <c r="E53" s="2"/>
      <c r="F53" s="11"/>
      <c r="H53" s="2"/>
      <c r="I53" s="8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s="1" customFormat="1" ht="15.75" thickBot="1">
      <c r="A54" s="20">
        <f>A52+1</f>
        <v>27</v>
      </c>
      <c r="C54" s="9" t="s">
        <v>6</v>
      </c>
      <c r="D54" s="2"/>
      <c r="E54" s="2"/>
      <c r="F54" s="23" t="str">
        <f>"Sum ("&amp;$A$50&amp;") - ("&amp;$A$52&amp;")"</f>
        <v>Sum (25) - (26)</v>
      </c>
      <c r="H54" s="12">
        <f t="shared" ref="H54:I54" si="22">SUM(H50:H52)</f>
        <v>159161.82490836945</v>
      </c>
      <c r="I54" s="12">
        <f t="shared" si="22"/>
        <v>233005.80000000002</v>
      </c>
      <c r="J54" s="12">
        <f>SUM(J50:J52)</f>
        <v>20770.850000000002</v>
      </c>
      <c r="K54" s="12">
        <f t="shared" ref="K54:S54" si="23">SUM(K50:K52)</f>
        <v>21590.9</v>
      </c>
      <c r="L54" s="12">
        <f t="shared" si="23"/>
        <v>22177.360000000001</v>
      </c>
      <c r="M54" s="12">
        <f t="shared" si="23"/>
        <v>22734.000000000004</v>
      </c>
      <c r="N54" s="12">
        <f t="shared" si="23"/>
        <v>23121.660000000003</v>
      </c>
      <c r="O54" s="12">
        <f t="shared" si="23"/>
        <v>23573.930000000004</v>
      </c>
      <c r="P54" s="12">
        <f t="shared" si="23"/>
        <v>24090.81</v>
      </c>
      <c r="Q54" s="12">
        <f t="shared" si="23"/>
        <v>24572.9</v>
      </c>
      <c r="R54" s="12">
        <f t="shared" si="23"/>
        <v>24995.350000000002</v>
      </c>
      <c r="S54" s="12">
        <f t="shared" si="23"/>
        <v>25378.04</v>
      </c>
    </row>
    <row r="55" spans="1:19" ht="15.75" thickTop="1"/>
    <row r="56" spans="1:19">
      <c r="C56" t="s">
        <v>24</v>
      </c>
    </row>
    <row r="57" spans="1:19">
      <c r="A57" s="20">
        <f>A54+1</f>
        <v>28</v>
      </c>
      <c r="D57" s="1" t="str">
        <f>C50</f>
        <v>Gross Revenue Requirements</v>
      </c>
      <c r="F57" s="23" t="str">
        <f>"Line "&amp;$A$50</f>
        <v>Line 25</v>
      </c>
      <c r="H57" s="10">
        <f>+NPV(Discount_Rate,J57:S57)*(1+Discount_Rate)^-0.5</f>
        <v>159161.82490836945</v>
      </c>
      <c r="I57" s="11">
        <f>SUM(J57:S57)</f>
        <v>233005.80000000002</v>
      </c>
      <c r="J57" s="11">
        <f t="shared" ref="J57:S57" si="24">J50</f>
        <v>20770.850000000002</v>
      </c>
      <c r="K57" s="11">
        <f t="shared" si="24"/>
        <v>21590.9</v>
      </c>
      <c r="L57" s="11">
        <f t="shared" si="24"/>
        <v>22177.360000000001</v>
      </c>
      <c r="M57" s="11">
        <f t="shared" si="24"/>
        <v>22734.000000000004</v>
      </c>
      <c r="N57" s="11">
        <f t="shared" si="24"/>
        <v>23121.660000000003</v>
      </c>
      <c r="O57" s="11">
        <f t="shared" si="24"/>
        <v>23573.930000000004</v>
      </c>
      <c r="P57" s="11">
        <f t="shared" si="24"/>
        <v>24090.81</v>
      </c>
      <c r="Q57" s="11">
        <f t="shared" si="24"/>
        <v>24572.9</v>
      </c>
      <c r="R57" s="11">
        <f t="shared" si="24"/>
        <v>24995.350000000002</v>
      </c>
      <c r="S57" s="11">
        <f t="shared" si="24"/>
        <v>25378.04</v>
      </c>
    </row>
    <row r="58" spans="1:19">
      <c r="A58" s="20">
        <f t="shared" ref="A58" si="25">A57+1</f>
        <v>29</v>
      </c>
      <c r="D58" t="s">
        <v>29</v>
      </c>
      <c r="F58" s="23" t="str">
        <f>"Line "&amp;$A$44</f>
        <v>Line 20</v>
      </c>
      <c r="H58" s="10">
        <f>+NPV(Discount_Rate,J58:S58)*(1+Discount_Rate)^-0.5</f>
        <v>-159161.82490836945</v>
      </c>
      <c r="I58" s="11">
        <f>SUM(J58:S58)</f>
        <v>-233005.80000000002</v>
      </c>
      <c r="J58" s="11">
        <f t="shared" ref="J58:S58" si="26">-J44</f>
        <v>-20770.850000000002</v>
      </c>
      <c r="K58" s="11">
        <f t="shared" si="26"/>
        <v>-21590.9</v>
      </c>
      <c r="L58" s="11">
        <f t="shared" si="26"/>
        <v>-22177.360000000001</v>
      </c>
      <c r="M58" s="11">
        <f t="shared" si="26"/>
        <v>-22734.000000000004</v>
      </c>
      <c r="N58" s="11">
        <f t="shared" si="26"/>
        <v>-23121.660000000003</v>
      </c>
      <c r="O58" s="11">
        <f t="shared" si="26"/>
        <v>-23573.930000000004</v>
      </c>
      <c r="P58" s="11">
        <f t="shared" si="26"/>
        <v>-24090.81</v>
      </c>
      <c r="Q58" s="11">
        <f t="shared" si="26"/>
        <v>-24572.9</v>
      </c>
      <c r="R58" s="11">
        <f t="shared" si="26"/>
        <v>-24995.350000000002</v>
      </c>
      <c r="S58" s="11">
        <f t="shared" si="26"/>
        <v>-25378.04</v>
      </c>
    </row>
    <row r="59" spans="1:19" s="1" customFormat="1" ht="3" customHeight="1">
      <c r="C59" s="7"/>
      <c r="D59" s="19"/>
      <c r="E59" s="2"/>
      <c r="F59" s="11"/>
      <c r="H59" s="2"/>
      <c r="I59" s="8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>
      <c r="A60" s="20">
        <f>A58+1</f>
        <v>30</v>
      </c>
      <c r="C60" s="1" t="str">
        <f>C56</f>
        <v>FERC Revenue Requirement</v>
      </c>
      <c r="F60" s="23" t="str">
        <f>"Sum ("&amp;A57&amp;") - ("&amp;A58&amp;")"</f>
        <v>Sum (28) - (29)</v>
      </c>
      <c r="H60" s="17">
        <f t="shared" ref="H60:I60" si="27">SUM(H57:H58)</f>
        <v>0</v>
      </c>
      <c r="I60" s="17">
        <f t="shared" si="27"/>
        <v>0</v>
      </c>
      <c r="J60" s="17">
        <f t="shared" ref="J60:S60" si="28">SUM(J57:J58)</f>
        <v>0</v>
      </c>
      <c r="K60" s="17">
        <f t="shared" si="28"/>
        <v>0</v>
      </c>
      <c r="L60" s="17">
        <f t="shared" si="28"/>
        <v>0</v>
      </c>
      <c r="M60" s="17">
        <f t="shared" si="28"/>
        <v>0</v>
      </c>
      <c r="N60" s="17">
        <f t="shared" si="28"/>
        <v>0</v>
      </c>
      <c r="O60" s="17">
        <f t="shared" si="28"/>
        <v>0</v>
      </c>
      <c r="P60" s="17">
        <f t="shared" si="28"/>
        <v>0</v>
      </c>
      <c r="Q60" s="17">
        <f t="shared" si="28"/>
        <v>0</v>
      </c>
      <c r="R60" s="17">
        <f t="shared" si="28"/>
        <v>0</v>
      </c>
      <c r="S60" s="17">
        <f t="shared" si="28"/>
        <v>0</v>
      </c>
    </row>
    <row r="61" spans="1:19" s="1" customFormat="1" ht="3" customHeight="1">
      <c r="C61" s="7"/>
      <c r="D61" s="19"/>
      <c r="E61" s="2"/>
      <c r="F61" s="11"/>
      <c r="H61" s="2"/>
      <c r="I61" s="8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>
      <c r="A62" s="20">
        <f>A60+1</f>
        <v>31</v>
      </c>
      <c r="C62" t="str">
        <f>"Transmission Revenue Credits - "&amp;'FERC Revenue'!$F$19*100&amp;"%"</f>
        <v>Transmission Revenue Credits - 15%</v>
      </c>
      <c r="F62" s="23" t="str">
        <f>"Line "&amp;$A$60&amp;" X "&amp;'FERC Revenue'!$F$19*100&amp;"%"</f>
        <v>Line 30 X 15%</v>
      </c>
      <c r="H62" s="10">
        <f>+NPV(Discount_Rate,J62:S62)*(1+Discount_Rate)^-0.5</f>
        <v>0</v>
      </c>
      <c r="I62" s="11">
        <f>SUM(J62:S62)</f>
        <v>0</v>
      </c>
      <c r="J62" s="11">
        <f>J60*'FERC Revenue'!$F$19</f>
        <v>0</v>
      </c>
      <c r="K62" s="11">
        <f>K60*'FERC Revenue'!$F$19</f>
        <v>0</v>
      </c>
      <c r="L62" s="11">
        <f>L60*'FERC Revenue'!$F$19</f>
        <v>0</v>
      </c>
      <c r="M62" s="11">
        <f>M60*'FERC Revenue'!$F$19</f>
        <v>0</v>
      </c>
      <c r="N62" s="11">
        <f>N60*'FERC Revenue'!$F$19</f>
        <v>0</v>
      </c>
      <c r="O62" s="11">
        <f>O60*'FERC Revenue'!$F$19</f>
        <v>0</v>
      </c>
      <c r="P62" s="11">
        <f>P60*'FERC Revenue'!$F$19</f>
        <v>0</v>
      </c>
      <c r="Q62" s="11">
        <f>Q60*'FERC Revenue'!$F$19</f>
        <v>0</v>
      </c>
      <c r="R62" s="11">
        <f>R60*'FERC Revenue'!$F$19</f>
        <v>0</v>
      </c>
      <c r="S62" s="11">
        <f>S60*'FERC Revenue'!$F$19</f>
        <v>0</v>
      </c>
    </row>
    <row r="63" spans="1:19" s="1" customFormat="1" ht="3" customHeight="1">
      <c r="C63" s="7"/>
      <c r="D63" s="19"/>
      <c r="E63" s="2"/>
      <c r="F63" s="11"/>
      <c r="H63" s="2"/>
      <c r="I63" s="8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>
      <c r="E64" s="30" t="s">
        <v>37</v>
      </c>
      <c r="F64" s="31">
        <v>6.6600000000000006E-2</v>
      </c>
    </row>
  </sheetData>
  <mergeCells count="9">
    <mergeCell ref="A4:T4"/>
    <mergeCell ref="A16:T16"/>
    <mergeCell ref="A40:T40"/>
    <mergeCell ref="D12:E12"/>
    <mergeCell ref="A1:T1"/>
    <mergeCell ref="A2:T2"/>
    <mergeCell ref="A3:T3"/>
    <mergeCell ref="C8:E8"/>
    <mergeCell ref="C7:E7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abSelected="1" view="pageLayout" topLeftCell="A64" zoomScaleNormal="100" workbookViewId="0">
      <selection sqref="A1:T1"/>
    </sheetView>
  </sheetViews>
  <sheetFormatPr defaultRowHeight="15"/>
  <cols>
    <col min="1" max="2" width="3.7109375" style="13" customWidth="1"/>
    <col min="3" max="3" width="18.42578125" style="13" customWidth="1"/>
    <col min="4" max="4" width="9.140625" style="13" customWidth="1"/>
    <col min="5" max="5" width="2.7109375" style="13" customWidth="1"/>
    <col min="6" max="6" width="9.140625" style="13"/>
    <col min="7" max="7" width="2.7109375" style="13" customWidth="1"/>
    <col min="8" max="16384" width="9.140625" style="13"/>
  </cols>
  <sheetData>
    <row r="2" spans="1:8">
      <c r="D2" s="13" t="s">
        <v>8</v>
      </c>
      <c r="F2" s="13" t="s">
        <v>9</v>
      </c>
      <c r="H2" s="13" t="s">
        <v>4</v>
      </c>
    </row>
    <row r="3" spans="1:8">
      <c r="A3" s="13" t="s">
        <v>19</v>
      </c>
    </row>
    <row r="5" spans="1:8">
      <c r="A5" s="13" t="s">
        <v>7</v>
      </c>
      <c r="D5" s="13">
        <v>8665</v>
      </c>
      <c r="F5" s="13">
        <v>111</v>
      </c>
      <c r="H5" s="13">
        <f>SUM(D5:F5)</f>
        <v>8776</v>
      </c>
    </row>
    <row r="6" spans="1:8">
      <c r="A6" s="13" t="s">
        <v>10</v>
      </c>
      <c r="D6" s="13">
        <v>0</v>
      </c>
      <c r="F6" s="13">
        <v>952</v>
      </c>
      <c r="H6" s="13">
        <f>SUM(D6:F6)</f>
        <v>952</v>
      </c>
    </row>
    <row r="7" spans="1:8">
      <c r="A7" s="13" t="s">
        <v>12</v>
      </c>
      <c r="D7" s="14">
        <v>0</v>
      </c>
      <c r="F7" s="14">
        <v>259</v>
      </c>
      <c r="H7" s="14">
        <f>SUM(D7:F7)</f>
        <v>259</v>
      </c>
    </row>
    <row r="8" spans="1:8">
      <c r="B8" s="13" t="s">
        <v>13</v>
      </c>
      <c r="D8" s="13">
        <f>SUBTOTAL(9,D5:D7)</f>
        <v>8665</v>
      </c>
      <c r="F8" s="13">
        <f>SUBTOTAL(9,F5:F7)</f>
        <v>1322</v>
      </c>
      <c r="H8" s="13">
        <f>SUBTOTAL(9,H5:H7)</f>
        <v>9987</v>
      </c>
    </row>
    <row r="10" spans="1:8">
      <c r="A10" s="13" t="s">
        <v>11</v>
      </c>
      <c r="D10" s="14">
        <v>3414</v>
      </c>
      <c r="F10" s="14">
        <f>4157-D10</f>
        <v>743</v>
      </c>
      <c r="H10" s="14">
        <f>SUM(D10:F10)</f>
        <v>4157</v>
      </c>
    </row>
    <row r="11" spans="1:8">
      <c r="B11" s="13" t="s">
        <v>14</v>
      </c>
      <c r="D11" s="13">
        <f>SUBTOTAL(9,D5:D10)</f>
        <v>12079</v>
      </c>
      <c r="F11" s="13">
        <f>SUBTOTAL(9,F5:F10)</f>
        <v>2065</v>
      </c>
      <c r="H11" s="13">
        <f>SUBTOTAL(9,H5:H10)</f>
        <v>14144</v>
      </c>
    </row>
    <row r="13" spans="1:8">
      <c r="A13" s="13" t="s">
        <v>15</v>
      </c>
      <c r="D13" s="13">
        <v>508.24</v>
      </c>
      <c r="F13" s="13">
        <v>127.44</v>
      </c>
      <c r="H13" s="13">
        <f>SUM(D13:F13)</f>
        <v>635.68000000000006</v>
      </c>
    </row>
    <row r="14" spans="1:8">
      <c r="A14" s="13" t="s">
        <v>16</v>
      </c>
      <c r="D14" s="14">
        <v>3165.31</v>
      </c>
      <c r="F14" s="14">
        <v>561.28</v>
      </c>
      <c r="H14" s="14">
        <f>SUM(D14:F14)</f>
        <v>3726.59</v>
      </c>
    </row>
    <row r="15" spans="1:8">
      <c r="B15" s="13" t="s">
        <v>17</v>
      </c>
      <c r="D15" s="13">
        <f>SUBTOTAL(9,D13:D14)</f>
        <v>3673.55</v>
      </c>
      <c r="F15" s="13">
        <f>SUBTOTAL(9,F13:F14)</f>
        <v>688.72</v>
      </c>
      <c r="H15" s="13">
        <f>SUBTOTAL(9,H13:H14)</f>
        <v>4362.2700000000004</v>
      </c>
    </row>
    <row r="17" spans="1:8">
      <c r="B17" s="13" t="s">
        <v>18</v>
      </c>
      <c r="D17" s="13">
        <f>SUBTOTAL(9,D5:D16)</f>
        <v>15752.55</v>
      </c>
      <c r="F17" s="13">
        <f>SUBTOTAL(9,F5:F16)</f>
        <v>2753.7200000000003</v>
      </c>
      <c r="H17" s="13">
        <f>SUBTOTAL(9,H5:H16)</f>
        <v>18506.27</v>
      </c>
    </row>
    <row r="19" spans="1:8">
      <c r="D19" s="15">
        <f>IFERROR(ROUND(D17/$H17,2),0)</f>
        <v>0.85</v>
      </c>
      <c r="E19" s="15"/>
      <c r="F19" s="15">
        <f>IFERROR(ROUND(F17/$H17,2),0)</f>
        <v>0.15</v>
      </c>
      <c r="G19" s="15"/>
      <c r="H19" s="15">
        <f>SUM(D19:F19)</f>
        <v>1</v>
      </c>
    </row>
    <row r="21" spans="1:8">
      <c r="A21" s="13" t="s">
        <v>21</v>
      </c>
      <c r="D21" s="13" t="s">
        <v>8</v>
      </c>
      <c r="F21" s="13" t="s">
        <v>9</v>
      </c>
      <c r="H21" s="13" t="s">
        <v>4</v>
      </c>
    </row>
    <row r="23" spans="1:8">
      <c r="A23" s="13" t="s">
        <v>7</v>
      </c>
      <c r="D23" s="13">
        <f>D5*$C$41</f>
        <v>213332.30000000002</v>
      </c>
      <c r="F23" s="13">
        <f>F5*$C$41</f>
        <v>2732.82</v>
      </c>
      <c r="H23" s="13">
        <f>SUM(D23:F23)</f>
        <v>216065.12000000002</v>
      </c>
    </row>
    <row r="24" spans="1:8">
      <c r="A24" s="13" t="s">
        <v>10</v>
      </c>
      <c r="D24" s="13">
        <f t="shared" ref="D24:F25" si="0">D6*$C$41</f>
        <v>0</v>
      </c>
      <c r="F24" s="13">
        <f t="shared" si="0"/>
        <v>23438.240000000002</v>
      </c>
      <c r="H24" s="13">
        <f>SUM(D24:F24)</f>
        <v>23438.240000000002</v>
      </c>
    </row>
    <row r="25" spans="1:8">
      <c r="A25" s="13" t="s">
        <v>12</v>
      </c>
      <c r="D25" s="14">
        <f t="shared" si="0"/>
        <v>0</v>
      </c>
      <c r="F25" s="14">
        <f t="shared" si="0"/>
        <v>6376.58</v>
      </c>
      <c r="H25" s="14">
        <f>SUM(D25:F25)</f>
        <v>6376.58</v>
      </c>
    </row>
    <row r="26" spans="1:8">
      <c r="B26" s="13" t="s">
        <v>13</v>
      </c>
      <c r="D26" s="13">
        <f>SUBTOTAL(9,D23:D25)</f>
        <v>213332.30000000002</v>
      </c>
      <c r="F26" s="13">
        <f>SUBTOTAL(9,F23:F25)</f>
        <v>32547.64</v>
      </c>
      <c r="H26" s="13">
        <f>SUBTOTAL(9,H23:H25)</f>
        <v>245879.94</v>
      </c>
    </row>
    <row r="28" spans="1:8">
      <c r="A28" s="13" t="s">
        <v>11</v>
      </c>
      <c r="D28" s="14">
        <f t="shared" ref="D28:F28" si="1">D10*$C$41</f>
        <v>84052.680000000008</v>
      </c>
      <c r="F28" s="14">
        <f t="shared" si="1"/>
        <v>18292.66</v>
      </c>
      <c r="H28" s="14">
        <f>SUM(D28:F28)</f>
        <v>102345.34000000001</v>
      </c>
    </row>
    <row r="29" spans="1:8">
      <c r="B29" s="13" t="s">
        <v>14</v>
      </c>
      <c r="D29" s="13">
        <f>SUBTOTAL(9,D23:D28)</f>
        <v>297384.98000000004</v>
      </c>
      <c r="F29" s="13">
        <f>SUBTOTAL(9,F23:F28)</f>
        <v>50840.3</v>
      </c>
      <c r="H29" s="13">
        <f>SUBTOTAL(9,H23:H28)</f>
        <v>348225.28000000003</v>
      </c>
    </row>
    <row r="31" spans="1:8">
      <c r="A31" s="13" t="s">
        <v>15</v>
      </c>
      <c r="D31" s="13">
        <v>12545.346</v>
      </c>
      <c r="F31" s="13">
        <v>3144.029</v>
      </c>
      <c r="H31" s="13">
        <f>SUM(D31:F31)</f>
        <v>15689.375</v>
      </c>
    </row>
    <row r="32" spans="1:8">
      <c r="A32" s="13" t="s">
        <v>16</v>
      </c>
      <c r="D32" s="14">
        <v>78132.528999999995</v>
      </c>
      <c r="F32" s="14">
        <v>13847.246999999999</v>
      </c>
      <c r="H32" s="14">
        <f>SUM(D32:F32)</f>
        <v>91979.775999999998</v>
      </c>
    </row>
    <row r="33" spans="2:8">
      <c r="B33" s="13" t="s">
        <v>17</v>
      </c>
      <c r="D33" s="13">
        <f>SUBTOTAL(9,D31:D32)</f>
        <v>90677.875</v>
      </c>
      <c r="F33" s="13">
        <f>SUBTOTAL(9,F31:F32)</f>
        <v>16991.275999999998</v>
      </c>
      <c r="H33" s="13">
        <f>SUBTOTAL(9,H31:H32)</f>
        <v>107669.151</v>
      </c>
    </row>
    <row r="35" spans="2:8">
      <c r="B35" s="13" t="s">
        <v>20</v>
      </c>
      <c r="D35" s="13">
        <f>SUBTOTAL(9,D23:D34)</f>
        <v>388062.85500000004</v>
      </c>
      <c r="F35" s="13">
        <f>SUBTOTAL(9,F23:F34)</f>
        <v>67831.576000000001</v>
      </c>
      <c r="H35" s="13">
        <f>SUBTOTAL(9,H23:H34)</f>
        <v>455894.43100000004</v>
      </c>
    </row>
    <row r="37" spans="2:8">
      <c r="D37" s="15">
        <f>IFERROR(ROUND(D35/$H35,2),0)</f>
        <v>0.85</v>
      </c>
      <c r="E37" s="15"/>
      <c r="F37" s="15">
        <f>IFERROR(ROUND(F35/$H35,2),0)</f>
        <v>0.15</v>
      </c>
      <c r="G37" s="15"/>
      <c r="H37" s="15">
        <f>SUM(D37:F37)</f>
        <v>1</v>
      </c>
    </row>
    <row r="41" spans="2:8">
      <c r="C41" s="16">
        <v>24.62</v>
      </c>
    </row>
  </sheetData>
  <pageMargins left="0.7" right="0.7" top="0.75" bottom="0.75" header="0.3" footer="0.3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140</IndustryCode>
    <CaseStatus xmlns="dc463f71-b30c-4ab2-9473-d307f9d35888">Closed</CaseStatus>
    <OpenedDate xmlns="dc463f71-b30c-4ab2-9473-d307f9d35888">2014-12-19T08:00:00+00:00</OpenedDate>
    <Date1 xmlns="dc463f71-b30c-4ab2-9473-d307f9d35888">2014-12-19T08:00:00+00:00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144136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C8A188FF635E448BB43AE8437DC1D73" ma:contentTypeVersion="175" ma:contentTypeDescription="" ma:contentTypeScope="" ma:versionID="630037fac3aa665da6deadcd56c474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B750E8-67EA-4B0C-8AAA-AB46E935F09C}"/>
</file>

<file path=customXml/itemProps2.xml><?xml version="1.0" encoding="utf-8"?>
<ds:datastoreItem xmlns:ds="http://schemas.openxmlformats.org/officeDocument/2006/customXml" ds:itemID="{70B2D21E-3277-4C4F-B0AF-70135D6D7B98}"/>
</file>

<file path=customXml/itemProps3.xml><?xml version="1.0" encoding="utf-8"?>
<ds:datastoreItem xmlns:ds="http://schemas.openxmlformats.org/officeDocument/2006/customXml" ds:itemID="{3A98E443-2D17-414D-B0F1-88524998F708}"/>
</file>

<file path=customXml/itemProps4.xml><?xml version="1.0" encoding="utf-8"?>
<ds:datastoreItem xmlns:ds="http://schemas.openxmlformats.org/officeDocument/2006/customXml" ds:itemID="{F2C64E1F-EFC8-43AA-B487-B0C5D9E64A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Comparison</vt:lpstr>
      <vt:lpstr>FERC Revenue</vt:lpstr>
      <vt:lpstr>Comparison!Discount_Rate</vt:lpstr>
      <vt:lpstr>Comparison!Print_Area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 Mark</dc:creator>
  <cp:lastModifiedBy>carrie meyer</cp:lastModifiedBy>
  <cp:lastPrinted>2014-12-17T00:16:28Z</cp:lastPrinted>
  <dcterms:created xsi:type="dcterms:W3CDTF">2014-11-18T23:53:05Z</dcterms:created>
  <dcterms:modified xsi:type="dcterms:W3CDTF">2014-12-17T00:16:57Z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0x0101006E56B4D1795A2E4DB2F0B01679ED314A003C8A188FF635E448BB43AE8437DC1D73</vt:lpwstr>
  </property>
  <property fmtid="{D5CDD505-2E9C-101B-9397-08002B2CF9AE}" pid="3" name="_docset_NoMedatataSyncRequired">
    <vt:lpwstr>False</vt:lpwstr>
  </property>
</Properties>
</file>