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worksheets/sheet10.xml" ContentType="application/vnd.openxmlformats-officedocument.spreadsheetml.worksheet+xml"/>
  <Override PartName="/xl/worksheets/sheet9.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Override PartName="/docProps/app.xml" ContentType="application/vnd.openxmlformats-officedocument.extended-properties+xml"/>
  <Override PartName="/docProps/core.xml" ContentType="application/vnd.openxmlformats-package.core-properties+xml"/>
  <Override PartName="/xl/comments2.xml" ContentType="application/vnd.openxmlformats-officedocument.spreadsheetml.comments+xml"/>
  <Override PartName="/xl/calcChain.xml" ContentType="application/vnd.openxmlformats-officedocument.spreadsheetml.calcChain+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9035" windowHeight="7110" tabRatio="722" activeTab="2"/>
  </bookViews>
  <sheets>
    <sheet name="Cost Summary Sno" sheetId="10" r:id="rId1"/>
    <sheet name="Impact on Recycling" sheetId="2" r:id="rId2"/>
    <sheet name="Budget Summary" sheetId="3" r:id="rId3"/>
    <sheet name="yw May 2012-April 2013" sheetId="4" state="hidden" r:id="rId4"/>
    <sheet name="recycle May 2012-April 2013" sheetId="5" state="hidden" r:id="rId5"/>
    <sheet name="garbage May 2012-April 2013" sheetId="6" state="hidden" r:id="rId6"/>
    <sheet name="Tons - diverted" sheetId="9" state="hidden" r:id="rId7"/>
    <sheet name="Admin Time" sheetId="7" r:id="rId8"/>
    <sheet name="Cost Summary Sno (1)" sheetId="1" state="hidden" r:id="rId9"/>
    <sheet name="Cost Summary Sno (2)" sheetId="8" state="hidden" r:id="rId10"/>
  </sheets>
  <definedNames>
    <definedName name="_xlnm.Print_Area" localSheetId="2">'Budget Summary'!$A$1:$G$43</definedName>
    <definedName name="_xlnm.Print_Area" localSheetId="0">'Cost Summary Sno'!$A$1:$F$55</definedName>
    <definedName name="_xlnm.Print_Area" localSheetId="8">'Cost Summary Sno (1)'!$A$1:$F$55</definedName>
    <definedName name="_xlnm.Print_Area" localSheetId="9">'Cost Summary Sno (2)'!$A$1:$F$50</definedName>
    <definedName name="_xlnm.Print_Area" localSheetId="1">'Impact on Recycling'!$A$1:$J$44</definedName>
  </definedNames>
  <calcPr calcId="145621"/>
</workbook>
</file>

<file path=xl/calcChain.xml><?xml version="1.0" encoding="utf-8"?>
<calcChain xmlns="http://schemas.openxmlformats.org/spreadsheetml/2006/main">
  <c r="B36" i="2" l="1"/>
  <c r="E21" i="2"/>
  <c r="C21" i="2"/>
  <c r="J21" i="2" s="1"/>
  <c r="D33" i="2"/>
  <c r="E33" i="2"/>
  <c r="B34" i="2"/>
  <c r="B35" i="2"/>
  <c r="B21" i="2"/>
  <c r="B33" i="2" s="1"/>
  <c r="B22" i="2"/>
  <c r="B23" i="2"/>
  <c r="B24" i="2"/>
  <c r="B25" i="2"/>
  <c r="B37" i="2" s="1"/>
  <c r="E10" i="2"/>
  <c r="D10" i="2"/>
  <c r="H10" i="2" s="1"/>
  <c r="C10" i="2"/>
  <c r="G10" i="2" s="1"/>
  <c r="C33" i="2" l="1"/>
  <c r="J33" i="2" s="1"/>
  <c r="I10" i="2"/>
  <c r="J10" i="2"/>
  <c r="N34" i="7"/>
  <c r="P39" i="7"/>
  <c r="K36" i="7"/>
  <c r="K38" i="7" s="1"/>
  <c r="M36" i="7"/>
  <c r="M38" i="7" s="1"/>
  <c r="L36" i="7"/>
  <c r="L38" i="7" s="1"/>
  <c r="J36" i="7"/>
  <c r="J38" i="7" s="1"/>
  <c r="I36" i="7"/>
  <c r="I38" i="7" s="1"/>
  <c r="H36" i="7"/>
  <c r="H38" i="7" s="1"/>
  <c r="G36" i="7"/>
  <c r="G38" i="7" s="1"/>
  <c r="F36" i="7"/>
  <c r="F38" i="7" s="1"/>
  <c r="E36" i="7"/>
  <c r="E38" i="7" s="1"/>
  <c r="D36" i="7"/>
  <c r="D38" i="7" s="1"/>
  <c r="C36" i="7"/>
  <c r="C38" i="7" s="1"/>
  <c r="N35" i="7"/>
  <c r="N33" i="7"/>
  <c r="N32" i="7"/>
  <c r="N31" i="7"/>
  <c r="N30" i="7"/>
  <c r="N29" i="7"/>
  <c r="N28" i="7"/>
  <c r="N27" i="7"/>
  <c r="N26" i="7"/>
  <c r="N25" i="7"/>
  <c r="N24" i="7"/>
  <c r="N23" i="7"/>
  <c r="P19" i="7"/>
  <c r="N36" i="7" l="1"/>
  <c r="N38" i="7"/>
  <c r="E54" i="10"/>
  <c r="E53" i="10"/>
  <c r="E59" i="1"/>
  <c r="E58" i="1"/>
  <c r="O39" i="7" l="1"/>
  <c r="O38" i="7"/>
  <c r="E24" i="2" l="1"/>
  <c r="C24" i="2"/>
  <c r="C25" i="2"/>
  <c r="E25" i="2"/>
  <c r="F13" i="2"/>
  <c r="E13" i="2"/>
  <c r="D13" i="2"/>
  <c r="D36" i="2" s="1"/>
  <c r="F22" i="10"/>
  <c r="B22" i="10"/>
  <c r="D20" i="10"/>
  <c r="D18" i="10"/>
  <c r="C13" i="2"/>
  <c r="C15" i="9"/>
  <c r="D15" i="9"/>
  <c r="E15" i="9"/>
  <c r="I15" i="9"/>
  <c r="J15" i="9"/>
  <c r="K15" i="9"/>
  <c r="C32" i="9"/>
  <c r="D32" i="9"/>
  <c r="D69" i="9" s="1"/>
  <c r="E32" i="9"/>
  <c r="I32" i="9"/>
  <c r="J32" i="9"/>
  <c r="K32" i="9"/>
  <c r="K69" i="9" s="1"/>
  <c r="C49" i="9"/>
  <c r="D49" i="9"/>
  <c r="E49" i="9"/>
  <c r="I49" i="9"/>
  <c r="J49" i="9"/>
  <c r="K49" i="9"/>
  <c r="C66" i="9"/>
  <c r="D66" i="9"/>
  <c r="E66" i="9"/>
  <c r="I66" i="9"/>
  <c r="J66" i="9"/>
  <c r="K66" i="9"/>
  <c r="C69" i="9"/>
  <c r="E69" i="9"/>
  <c r="I69" i="9"/>
  <c r="J69" i="9"/>
  <c r="C36" i="2" l="1"/>
  <c r="E36" i="2"/>
  <c r="F17" i="10"/>
  <c r="D22" i="10"/>
  <c r="D17" i="10" s="1"/>
  <c r="F46" i="8"/>
  <c r="F22" i="8"/>
  <c r="B22" i="8"/>
  <c r="D20" i="8"/>
  <c r="D18" i="8"/>
  <c r="F17" i="8" l="1"/>
  <c r="D22" i="8"/>
  <c r="D17" i="8" s="1"/>
  <c r="J36" i="2" l="1"/>
  <c r="J24" i="2"/>
  <c r="B18" i="2"/>
  <c r="C18" i="2"/>
  <c r="J18" i="2" s="1"/>
  <c r="E18" i="2"/>
  <c r="B19" i="2"/>
  <c r="B31" i="2" s="1"/>
  <c r="J19" i="2"/>
  <c r="B20" i="2"/>
  <c r="B32" i="2" s="1"/>
  <c r="C20" i="2"/>
  <c r="E20" i="2"/>
  <c r="J20" i="2"/>
  <c r="C22" i="2"/>
  <c r="E22" i="2"/>
  <c r="J22" i="2"/>
  <c r="J25" i="2"/>
  <c r="J13" i="2"/>
  <c r="H13" i="2"/>
  <c r="G13" i="2"/>
  <c r="I13" i="2" l="1"/>
  <c r="G109" i="7" l="1"/>
  <c r="F109" i="7"/>
  <c r="F54" i="7" s="1"/>
  <c r="E109" i="7"/>
  <c r="E54" i="7" s="1"/>
  <c r="D109" i="7"/>
  <c r="D54" i="7" s="1"/>
  <c r="C109" i="7"/>
  <c r="G99" i="7"/>
  <c r="F99" i="7"/>
  <c r="E99" i="7"/>
  <c r="D99" i="7"/>
  <c r="C99" i="7"/>
  <c r="G92" i="7"/>
  <c r="G53" i="7" s="1"/>
  <c r="F92" i="7"/>
  <c r="E92" i="7"/>
  <c r="D92" i="7"/>
  <c r="C92" i="7"/>
  <c r="C53" i="7" s="1"/>
  <c r="G83" i="7"/>
  <c r="F83" i="7"/>
  <c r="E83" i="7"/>
  <c r="D83" i="7"/>
  <c r="D44" i="7" s="1"/>
  <c r="C83" i="7"/>
  <c r="H55" i="7"/>
  <c r="G55" i="7"/>
  <c r="F55" i="7"/>
  <c r="E55" i="7"/>
  <c r="D55" i="7"/>
  <c r="C55" i="7"/>
  <c r="H54" i="7"/>
  <c r="G54" i="7"/>
  <c r="C54" i="7"/>
  <c r="H53" i="7"/>
  <c r="F53" i="7"/>
  <c r="E53" i="7"/>
  <c r="D53" i="7"/>
  <c r="H52" i="7"/>
  <c r="G52" i="7"/>
  <c r="F52" i="7"/>
  <c r="E52" i="7"/>
  <c r="D52" i="7"/>
  <c r="C52" i="7"/>
  <c r="H51" i="7"/>
  <c r="G51" i="7"/>
  <c r="F51" i="7"/>
  <c r="E51" i="7"/>
  <c r="D51" i="7"/>
  <c r="C51" i="7"/>
  <c r="H50" i="7"/>
  <c r="G50" i="7"/>
  <c r="F50" i="7"/>
  <c r="E50" i="7"/>
  <c r="D50" i="7"/>
  <c r="C50" i="7"/>
  <c r="H49" i="7"/>
  <c r="G49" i="7"/>
  <c r="F49" i="7"/>
  <c r="E49" i="7"/>
  <c r="D49" i="7"/>
  <c r="C49" i="7"/>
  <c r="H48" i="7"/>
  <c r="G48" i="7"/>
  <c r="F48" i="7"/>
  <c r="E48" i="7"/>
  <c r="D48" i="7"/>
  <c r="C48" i="7"/>
  <c r="H47" i="7"/>
  <c r="G47" i="7"/>
  <c r="F47" i="7"/>
  <c r="E47" i="7"/>
  <c r="D47" i="7"/>
  <c r="C47" i="7"/>
  <c r="H46" i="7"/>
  <c r="G46" i="7"/>
  <c r="F46" i="7"/>
  <c r="E46" i="7"/>
  <c r="D46" i="7"/>
  <c r="C46" i="7"/>
  <c r="H45" i="7"/>
  <c r="G45" i="7"/>
  <c r="F45" i="7"/>
  <c r="E45" i="7"/>
  <c r="D45" i="7"/>
  <c r="C45" i="7"/>
  <c r="H44" i="7"/>
  <c r="G44" i="7"/>
  <c r="F44" i="7"/>
  <c r="E44" i="7"/>
  <c r="C44" i="7"/>
  <c r="H43" i="7"/>
  <c r="G43" i="7"/>
  <c r="F43" i="7"/>
  <c r="E43" i="7"/>
  <c r="D43" i="7"/>
  <c r="C43" i="7"/>
  <c r="K42" i="7"/>
  <c r="M16" i="7"/>
  <c r="M18" i="7" s="1"/>
  <c r="L16" i="7"/>
  <c r="L18" i="7" s="1"/>
  <c r="K16" i="7"/>
  <c r="K18" i="7" s="1"/>
  <c r="J16" i="7"/>
  <c r="J18" i="7" s="1"/>
  <c r="I16" i="7"/>
  <c r="I18" i="7" s="1"/>
  <c r="H16" i="7"/>
  <c r="H18" i="7" s="1"/>
  <c r="G16" i="7"/>
  <c r="G18" i="7" s="1"/>
  <c r="F16" i="7"/>
  <c r="F18" i="7" s="1"/>
  <c r="E16" i="7"/>
  <c r="E18" i="7" s="1"/>
  <c r="D16" i="7"/>
  <c r="D18" i="7" s="1"/>
  <c r="C16" i="7"/>
  <c r="C18" i="7" s="1"/>
  <c r="N15" i="7"/>
  <c r="K55" i="7" s="1"/>
  <c r="N14" i="7"/>
  <c r="K54" i="7" s="1"/>
  <c r="N13" i="7"/>
  <c r="K53" i="7" s="1"/>
  <c r="N12" i="7"/>
  <c r="K52" i="7" s="1"/>
  <c r="N11" i="7"/>
  <c r="K51" i="7" s="1"/>
  <c r="N10" i="7"/>
  <c r="K50" i="7" s="1"/>
  <c r="N9" i="7"/>
  <c r="K49" i="7" s="1"/>
  <c r="N8" i="7"/>
  <c r="K48" i="7" s="1"/>
  <c r="N7" i="7"/>
  <c r="K47" i="7" s="1"/>
  <c r="N6" i="7"/>
  <c r="K46" i="7" s="1"/>
  <c r="N5" i="7"/>
  <c r="K45" i="7" s="1"/>
  <c r="N4" i="7"/>
  <c r="K44" i="7" s="1"/>
  <c r="N3" i="7"/>
  <c r="M50" i="7" l="1"/>
  <c r="C56" i="7"/>
  <c r="I46" i="7"/>
  <c r="M46" i="7" s="1"/>
  <c r="I50" i="7"/>
  <c r="I55" i="7"/>
  <c r="I53" i="7"/>
  <c r="M53" i="7" s="1"/>
  <c r="G56" i="7"/>
  <c r="I43" i="7"/>
  <c r="E56" i="7"/>
  <c r="I45" i="7"/>
  <c r="I47" i="7"/>
  <c r="M47" i="7" s="1"/>
  <c r="I48" i="7"/>
  <c r="M48" i="7" s="1"/>
  <c r="I49" i="7"/>
  <c r="I51" i="7"/>
  <c r="I52" i="7"/>
  <c r="M52" i="7" s="1"/>
  <c r="K43" i="7"/>
  <c r="B30" i="8"/>
  <c r="F30" i="8" s="1"/>
  <c r="N18" i="7"/>
  <c r="M49" i="7"/>
  <c r="I54" i="7"/>
  <c r="M45" i="7"/>
  <c r="D56" i="7"/>
  <c r="M54" i="7"/>
  <c r="M43" i="7"/>
  <c r="M51" i="7"/>
  <c r="M55" i="7"/>
  <c r="F56" i="7"/>
  <c r="N16" i="7"/>
  <c r="I44" i="7"/>
  <c r="M44" i="7" s="1"/>
  <c r="I56" i="7" l="1"/>
  <c r="O18" i="7"/>
  <c r="F31" i="10" s="1"/>
  <c r="F42" i="10" s="1"/>
  <c r="F44" i="10" s="1"/>
  <c r="F48" i="10" s="1"/>
  <c r="O19" i="7"/>
  <c r="B31" i="10"/>
  <c r="B33" i="1"/>
  <c r="K56" i="7"/>
  <c r="M56" i="7" s="1"/>
  <c r="B36" i="8"/>
  <c r="F36" i="8" s="1"/>
  <c r="F41" i="8" s="1"/>
  <c r="F43" i="8" s="1"/>
  <c r="F48" i="8" s="1"/>
  <c r="F50" i="10" l="1"/>
  <c r="G48" i="10"/>
  <c r="F50" i="8"/>
  <c r="G48" i="8"/>
  <c r="C31" i="2"/>
  <c r="D31" i="2"/>
  <c r="E31" i="2"/>
  <c r="C32" i="2"/>
  <c r="D32" i="2"/>
  <c r="E32" i="2"/>
  <c r="C34" i="2"/>
  <c r="D34" i="2"/>
  <c r="E34" i="2"/>
  <c r="E30" i="2"/>
  <c r="D30" i="2"/>
  <c r="C30" i="2"/>
  <c r="E14" i="2"/>
  <c r="E37" i="2" s="1"/>
  <c r="D14" i="2"/>
  <c r="D37" i="2" s="1"/>
  <c r="C14" i="2"/>
  <c r="C37" i="2" s="1"/>
  <c r="E11" i="2"/>
  <c r="D11" i="2"/>
  <c r="C11" i="2"/>
  <c r="F54" i="10" l="1"/>
  <c r="F53" i="10"/>
  <c r="F55" i="10" s="1"/>
  <c r="F33" i="1"/>
  <c r="F46" i="1" s="1"/>
  <c r="A17" i="3" l="1"/>
  <c r="A7" i="3"/>
  <c r="B12" i="3" l="1"/>
  <c r="B10" i="3"/>
  <c r="F10" i="3" s="1"/>
  <c r="D43" i="2" l="1"/>
  <c r="F51" i="1" s="1"/>
  <c r="B30" i="2"/>
  <c r="J14" i="2"/>
  <c r="H14" i="2"/>
  <c r="G14" i="2"/>
  <c r="J11" i="2"/>
  <c r="H11" i="2"/>
  <c r="G11" i="2"/>
  <c r="G9" i="2"/>
  <c r="E9" i="2"/>
  <c r="D9" i="2"/>
  <c r="G8" i="2"/>
  <c r="E8" i="2"/>
  <c r="D8" i="2"/>
  <c r="C8" i="2"/>
  <c r="G7" i="2"/>
  <c r="E7" i="2"/>
  <c r="D7" i="2"/>
  <c r="H7" i="2" s="1"/>
  <c r="C7" i="2"/>
  <c r="E25" i="6"/>
  <c r="E24" i="6"/>
  <c r="E23" i="6"/>
  <c r="E22" i="6"/>
  <c r="E21" i="6"/>
  <c r="E20" i="6"/>
  <c r="E19" i="6"/>
  <c r="E18" i="6"/>
  <c r="E17" i="6"/>
  <c r="E16" i="6"/>
  <c r="E15" i="6"/>
  <c r="E14" i="6"/>
  <c r="E13" i="6"/>
  <c r="E12" i="6"/>
  <c r="E11" i="6"/>
  <c r="E10" i="6"/>
  <c r="E9" i="6"/>
  <c r="E8" i="6"/>
  <c r="E7" i="6"/>
  <c r="E6" i="6"/>
  <c r="E5" i="6"/>
  <c r="E4" i="6"/>
  <c r="E3" i="6"/>
  <c r="E2" i="6"/>
  <c r="E25" i="5"/>
  <c r="E24" i="5"/>
  <c r="E23" i="5"/>
  <c r="E22" i="5"/>
  <c r="E21" i="5"/>
  <c r="E20" i="5"/>
  <c r="E19" i="5"/>
  <c r="E18" i="5"/>
  <c r="E17" i="5"/>
  <c r="E16" i="5"/>
  <c r="E15" i="5"/>
  <c r="E14" i="5"/>
  <c r="E13" i="5"/>
  <c r="E12" i="5"/>
  <c r="E11" i="5"/>
  <c r="E10" i="5"/>
  <c r="E9" i="5"/>
  <c r="E8" i="5"/>
  <c r="E7" i="5"/>
  <c r="E6" i="5"/>
  <c r="E5" i="5"/>
  <c r="E4" i="5"/>
  <c r="E3" i="5"/>
  <c r="E2" i="5"/>
  <c r="E25" i="4"/>
  <c r="E24" i="4"/>
  <c r="E23" i="4"/>
  <c r="E22" i="4"/>
  <c r="E21" i="4"/>
  <c r="E20" i="4"/>
  <c r="E19" i="4"/>
  <c r="E18" i="4"/>
  <c r="E17" i="4"/>
  <c r="E16" i="4"/>
  <c r="E15" i="4"/>
  <c r="E14" i="4"/>
  <c r="E13" i="4"/>
  <c r="E12" i="4"/>
  <c r="E11" i="4"/>
  <c r="E10" i="4"/>
  <c r="E9" i="4"/>
  <c r="E8" i="4"/>
  <c r="E7" i="4"/>
  <c r="E6" i="4"/>
  <c r="E5" i="4"/>
  <c r="E4" i="4"/>
  <c r="E3" i="4"/>
  <c r="E2" i="4"/>
  <c r="I7" i="2" l="1"/>
  <c r="I14" i="2"/>
  <c r="J31" i="2"/>
  <c r="I11" i="2"/>
  <c r="J37" i="2"/>
  <c r="F46" i="10" s="1"/>
  <c r="J34" i="2"/>
  <c r="H8" i="2"/>
  <c r="I8" i="2" s="1"/>
  <c r="H9" i="2"/>
  <c r="I9" i="2" s="1"/>
  <c r="J32" i="2"/>
  <c r="J30" i="2"/>
  <c r="J7" i="2"/>
  <c r="J8" i="2"/>
  <c r="J9" i="2"/>
  <c r="D18" i="1"/>
  <c r="D20" i="1"/>
  <c r="B20" i="3" l="1"/>
  <c r="B35" i="3" s="1"/>
  <c r="B14" i="3" l="1"/>
  <c r="D14" i="3"/>
  <c r="B37" i="3"/>
  <c r="B43" i="3" s="1"/>
  <c r="B39" i="3" l="1"/>
  <c r="B45" i="3" s="1"/>
  <c r="B41" i="3"/>
  <c r="D9" i="3"/>
  <c r="F12" i="3"/>
  <c r="F14" i="3" s="1"/>
  <c r="F9" i="3" s="1"/>
  <c r="C39" i="3" l="1"/>
  <c r="C43" i="3"/>
  <c r="C41" i="3"/>
  <c r="F22" i="1" l="1"/>
  <c r="B22" i="1"/>
  <c r="D22" i="1"/>
  <c r="F48" i="1" l="1"/>
  <c r="D17" i="1"/>
  <c r="F17" i="1"/>
  <c r="F53" i="1" l="1"/>
  <c r="F55" i="1" l="1"/>
  <c r="G53" i="1"/>
  <c r="F58" i="1" l="1"/>
  <c r="F59" i="1"/>
  <c r="F60" i="1" l="1"/>
</calcChain>
</file>

<file path=xl/comments1.xml><?xml version="1.0" encoding="utf-8"?>
<comments xmlns="http://schemas.openxmlformats.org/spreadsheetml/2006/main">
  <authors>
    <author>Jody Reid</author>
  </authors>
  <commentList>
    <comment ref="B10" authorId="0">
      <text>
        <r>
          <rPr>
            <sz val="8"/>
            <color indexed="81"/>
            <rFont val="Tahoma"/>
            <family val="2"/>
          </rPr>
          <t>TTM Commodity value per customer x # of Customers x 12 months</t>
        </r>
      </text>
    </comment>
    <comment ref="D10" authorId="0">
      <text>
        <r>
          <rPr>
            <sz val="8"/>
            <color indexed="81"/>
            <rFont val="Tahoma"/>
            <family val="2"/>
          </rPr>
          <t xml:space="preserve">Customer Count Today x 12 months x Base Pass Back Rate
</t>
        </r>
      </text>
    </comment>
    <comment ref="B12" authorId="0">
      <text>
        <r>
          <rPr>
            <sz val="8"/>
            <color indexed="81"/>
            <rFont val="Tahoma"/>
            <family val="2"/>
          </rPr>
          <t>TTM Commodity value per MF Yard x # of MF Yards x 12 months</t>
        </r>
      </text>
    </comment>
    <comment ref="D12" authorId="0">
      <text>
        <r>
          <rPr>
            <sz val="8"/>
            <color indexed="81"/>
            <rFont val="Tahoma"/>
            <family val="2"/>
          </rPr>
          <t xml:space="preserve">Customer MF Yards today x 12 months x Base Pass Back Rate
</t>
        </r>
      </text>
    </comment>
  </commentList>
</comments>
</file>

<file path=xl/comments2.xml><?xml version="1.0" encoding="utf-8"?>
<comments xmlns="http://schemas.openxmlformats.org/spreadsheetml/2006/main">
  <authors>
    <author>Vander Zalm, Connor</author>
  </authors>
  <commentList>
    <comment ref="B15" authorId="0">
      <text>
        <r>
          <rPr>
            <b/>
            <sz val="9"/>
            <color indexed="81"/>
            <rFont val="Tahoma"/>
            <family val="2"/>
          </rPr>
          <t>Vander Zalm, Connor:</t>
        </r>
        <r>
          <rPr>
            <sz val="9"/>
            <color indexed="81"/>
            <rFont val="Tahoma"/>
            <family val="2"/>
          </rPr>
          <t xml:space="preserve">
Not included in reporting plan year</t>
        </r>
      </text>
    </comment>
    <comment ref="B35" authorId="0">
      <text>
        <r>
          <rPr>
            <b/>
            <sz val="9"/>
            <color indexed="81"/>
            <rFont val="Tahoma"/>
            <family val="2"/>
          </rPr>
          <t>Vander Zalm, Connor:</t>
        </r>
        <r>
          <rPr>
            <sz val="9"/>
            <color indexed="81"/>
            <rFont val="Tahoma"/>
            <family val="2"/>
          </rPr>
          <t xml:space="preserve">
Not included in reporting plan year</t>
        </r>
      </text>
    </comment>
    <comment ref="C42" authorId="0">
      <text>
        <r>
          <rPr>
            <b/>
            <sz val="9"/>
            <color indexed="81"/>
            <rFont val="Tahoma"/>
            <family val="2"/>
          </rPr>
          <t>Vander Zalm, Connor:</t>
        </r>
        <r>
          <rPr>
            <sz val="9"/>
            <color indexed="81"/>
            <rFont val="Tahoma"/>
            <family val="2"/>
          </rPr>
          <t xml:space="preserve">
Regarding/For example
-RSA activity planning and/or review
-message/content/document creation and brainstorming
-reviewing consultant materials
-planning or reviewing RSA documents &amp; deliverables
-meeting (w/County or other 3rd Party) planning/prep/review/debriefing
</t>
        </r>
      </text>
    </comment>
    <comment ref="D42" authorId="0">
      <text>
        <r>
          <rPr>
            <b/>
            <sz val="9"/>
            <color indexed="81"/>
            <rFont val="Tahoma"/>
            <family val="2"/>
          </rPr>
          <t>Vander Zalm, Connor:</t>
        </r>
        <r>
          <rPr>
            <sz val="9"/>
            <color indexed="81"/>
            <rFont val="Tahoma"/>
            <family val="2"/>
          </rPr>
          <t xml:space="preserve">
Regarding:
-on-site/event visits (why we will be there and what we are doing to facilitate most effective use of our actual 'face time' with customers to maximize the benefits from each 'touch)
-route planning for cart conversion ('RSA Admin' staff working with operations to ensure seemless field operations)
-post field activities review to analyze effect on regular operations/coordination of cart inspections and brainstorm future potential for roll-out of program with in-house staffers</t>
        </r>
      </text>
    </comment>
    <comment ref="E42" authorId="0">
      <text>
        <r>
          <rPr>
            <b/>
            <sz val="9"/>
            <color indexed="81"/>
            <rFont val="Tahoma"/>
            <family val="2"/>
          </rPr>
          <t>Vander Zalm, Connor:</t>
        </r>
        <r>
          <rPr>
            <sz val="9"/>
            <color indexed="81"/>
            <rFont val="Tahoma"/>
            <family val="2"/>
          </rPr>
          <t xml:space="preserve">
Excluding meetings with Vendors:
-Meeintgs with County, WUTC, SWAC, WAMRS, etc.</t>
        </r>
      </text>
    </comment>
    <comment ref="F42" authorId="0">
      <text>
        <r>
          <rPr>
            <b/>
            <sz val="9"/>
            <color indexed="81"/>
            <rFont val="Tahoma"/>
            <family val="2"/>
          </rPr>
          <t>Vander Zalm, Connor:</t>
        </r>
        <r>
          <rPr>
            <sz val="9"/>
            <color indexed="81"/>
            <rFont val="Tahoma"/>
            <family val="2"/>
          </rPr>
          <t xml:space="preserve">
Regarding:
-Strategy &amp; reasoning behind our actions
Expectations for results and how we intend to use them/apply to recycling
-how we will effectively communicate with 'stakeholders' pilot tests
-drive behavior</t>
        </r>
      </text>
    </comment>
    <comment ref="G42" authorId="0">
      <text>
        <r>
          <rPr>
            <b/>
            <sz val="9"/>
            <color indexed="81"/>
            <rFont val="Tahoma"/>
            <family val="2"/>
          </rPr>
          <t>Vander Zalm, Connor:</t>
        </r>
        <r>
          <rPr>
            <sz val="9"/>
            <color indexed="81"/>
            <rFont val="Tahoma"/>
            <family val="2"/>
          </rPr>
          <t xml:space="preserve">
Work done on content creation/review/analysis/</t>
        </r>
      </text>
    </comment>
  </commentList>
</comments>
</file>

<file path=xl/sharedStrings.xml><?xml version="1.0" encoding="utf-8"?>
<sst xmlns="http://schemas.openxmlformats.org/spreadsheetml/2006/main" count="502" uniqueCount="153">
  <si>
    <t>Variance</t>
  </si>
  <si>
    <t>Increased Diversion %</t>
  </si>
  <si>
    <t>Increased YW/FW Subscriptions</t>
  </si>
  <si>
    <t>Program Incentive</t>
  </si>
  <si>
    <t>Total Program Costs</t>
  </si>
  <si>
    <t>Customer Mailings</t>
  </si>
  <si>
    <t>Total Cost</t>
  </si>
  <si>
    <t>Unit Cost</t>
  </si>
  <si>
    <t>Units</t>
  </si>
  <si>
    <t>Program</t>
  </si>
  <si>
    <t>Program Costs</t>
  </si>
  <si>
    <t>Total Revenue Retained</t>
  </si>
  <si>
    <t>Multi-Family Value (Estimated)</t>
  </si>
  <si>
    <t>Single-Family Value (Estimated)</t>
  </si>
  <si>
    <t>Total</t>
  </si>
  <si>
    <t>Revenue Retained</t>
  </si>
  <si>
    <t>The program costs listed below are not also covered in the rate charged to the customer.  There are a number of ways that we allocate our costs between regulated collection and non-regulated and other activities within our rate case filings. We ensure that the activities related to the revenue sharing agreement are not also counted in a rate case by excluding them from our regulated allocation base, whether it's revenue or labor hours or another allocation method. For example, for costs that are allocated based on revenue, the revenue retained from the revenue sharing agreement is excluded from total regulated revenue, which has the effect of reducing the regulated allocation percentage and thus the amount of costs allocated to regulated activities.  We are willing and able to demonstrate this to the County.</t>
  </si>
  <si>
    <t>Revenue Sharing Summary</t>
  </si>
  <si>
    <t>WUTC Snohomish County</t>
  </si>
  <si>
    <t>Recycle Tons</t>
  </si>
  <si>
    <t>YW Tons</t>
  </si>
  <si>
    <t>MSW Tons</t>
  </si>
  <si>
    <t>Customers</t>
  </si>
  <si>
    <t>Recyle Lbs/Customer</t>
  </si>
  <si>
    <t>YW Lbs/Customer</t>
  </si>
  <si>
    <t>Total Diversion</t>
  </si>
  <si>
    <t>Diversion %</t>
  </si>
  <si>
    <t>Single Family</t>
  </si>
  <si>
    <t>Multi-Family</t>
  </si>
  <si>
    <t>n/a</t>
  </si>
  <si>
    <t>Combined</t>
  </si>
  <si>
    <t>D</t>
  </si>
  <si>
    <t>Beginning YW Subscribers</t>
  </si>
  <si>
    <t>Current YW Subscribers</t>
  </si>
  <si>
    <t>Revenues Returned to the Customer</t>
  </si>
  <si>
    <t>Program Expenditures</t>
  </si>
  <si>
    <t>School Recycling Education and Outreach</t>
  </si>
  <si>
    <t>Community Events and/or Sponsorships</t>
  </si>
  <si>
    <t>Project Management/Administration and Coordination</t>
  </si>
  <si>
    <t>As of</t>
  </si>
  <si>
    <t>Revenue Share Agreement Manager (30%)</t>
  </si>
  <si>
    <t>Program Incentive on Incurred Expenditures</t>
  </si>
  <si>
    <t>Republic Services (RS of Lynnwood)</t>
  </si>
  <si>
    <t>May 1, 2012 Through April 30, 2013</t>
  </si>
  <si>
    <t>Sector</t>
  </si>
  <si>
    <t>Year</t>
  </si>
  <si>
    <t>Month</t>
  </si>
  <si>
    <t>MF</t>
  </si>
  <si>
    <t>Jan</t>
  </si>
  <si>
    <t>Feb</t>
  </si>
  <si>
    <t>Mar</t>
  </si>
  <si>
    <t>Apr</t>
  </si>
  <si>
    <t>May</t>
  </si>
  <si>
    <t>Jun</t>
  </si>
  <si>
    <t>Jul</t>
  </si>
  <si>
    <t>Aug</t>
  </si>
  <si>
    <t>Sep</t>
  </si>
  <si>
    <t>Oct</t>
  </si>
  <si>
    <t>Nov</t>
  </si>
  <si>
    <t>Dec</t>
  </si>
  <si>
    <t>Resi</t>
  </si>
  <si>
    <t>Task 1: Staffing Costs</t>
  </si>
  <si>
    <t>Task 3: Cart Contamination</t>
  </si>
  <si>
    <t>Task 2: Monthly Reporting</t>
  </si>
  <si>
    <t>Task 4: Annual Mailer</t>
  </si>
  <si>
    <t>Task 5: Multifamily Recycling Plan</t>
  </si>
  <si>
    <t>Task 6: Organics</t>
  </si>
  <si>
    <t>Task 7: School Education &amp; Outreach</t>
  </si>
  <si>
    <t>Cart Contamination Study</t>
  </si>
  <si>
    <t>Task 1: Data Collection &amp; Reporting</t>
  </si>
  <si>
    <t>Task 2: Quarterly Updates &amp; Coordination Meetings</t>
  </si>
  <si>
    <t>Task 3: External Communication &amp; Outreach</t>
  </si>
  <si>
    <t>Task 4: School Recycling Education &amp; Outreach</t>
  </si>
  <si>
    <t>Task 5: Promotion of Food &amp; Yard Waste</t>
  </si>
  <si>
    <t>Total Potential Incentives</t>
  </si>
  <si>
    <t>Revenue Share Agreement Administrator (30%)</t>
  </si>
  <si>
    <t>Education &amp; Marketing Content Develeopment &amp; Creation</t>
  </si>
  <si>
    <t>Distribution (Print &amp; Delivery Costs)</t>
  </si>
  <si>
    <t>Months</t>
  </si>
  <si>
    <t>Connor V</t>
  </si>
  <si>
    <t>John L</t>
  </si>
  <si>
    <t>Dennis M</t>
  </si>
  <si>
    <t>Jeff B</t>
  </si>
  <si>
    <t>Jim H</t>
  </si>
  <si>
    <t>Anne L</t>
  </si>
  <si>
    <t>Alex B</t>
  </si>
  <si>
    <t>Various Supervisors</t>
  </si>
  <si>
    <t>Lynnyetta K</t>
  </si>
  <si>
    <t>Irena G</t>
  </si>
  <si>
    <t>Kelly S</t>
  </si>
  <si>
    <t>TOTAL</t>
  </si>
  <si>
    <t>*conservative # of the 2</t>
  </si>
  <si>
    <t>Allocation - $/hr</t>
  </si>
  <si>
    <t>Total Admin Cost</t>
  </si>
  <si>
    <r>
      <rPr>
        <b/>
        <sz val="11"/>
        <color theme="1"/>
        <rFont val="Calibri"/>
        <family val="2"/>
        <scheme val="minor"/>
      </rPr>
      <t xml:space="preserve">General Weekly Admin Hours Analysis
</t>
    </r>
    <r>
      <rPr>
        <sz val="10"/>
        <rFont val="Arial"/>
        <family val="2"/>
      </rPr>
      <t xml:space="preserve">Total Estimated time expended by all involved employees
</t>
    </r>
    <r>
      <rPr>
        <i/>
        <sz val="11"/>
        <color theme="1"/>
        <rFont val="Calibri"/>
        <family val="2"/>
        <scheme val="minor"/>
      </rPr>
      <t>(hours adjusted if not weekly; i.e. bi-weekly tasks divided by 2)</t>
    </r>
  </si>
  <si>
    <t>Internal meetings</t>
  </si>
  <si>
    <t>Operational Meetings</t>
  </si>
  <si>
    <t>External Meetings</t>
  </si>
  <si>
    <t>Meetings w/ vendors</t>
  </si>
  <si>
    <t>Document &amp; Content Creation &amp; Review</t>
  </si>
  <si>
    <t>TOTAL Hours</t>
  </si>
  <si>
    <t>hours</t>
  </si>
  <si>
    <t>Number of People Involved</t>
  </si>
  <si>
    <t>Estimated Hours Spent Per Person</t>
  </si>
  <si>
    <t>Total Budgeted Expenditure</t>
  </si>
  <si>
    <t>Variance  -  Over / (Under) 50%</t>
  </si>
  <si>
    <t>August 1, 2013 Through July 31, 2014</t>
  </si>
  <si>
    <t>Part B of Prior (May 1, 2011 through April 30, 2012) Plan Year</t>
  </si>
  <si>
    <t>KC Totals</t>
  </si>
  <si>
    <t>April</t>
  </si>
  <si>
    <t>March</t>
  </si>
  <si>
    <t>February</t>
  </si>
  <si>
    <t>January</t>
  </si>
  <si>
    <t>December</t>
  </si>
  <si>
    <t>November</t>
  </si>
  <si>
    <t>October</t>
  </si>
  <si>
    <t>September</t>
  </si>
  <si>
    <t>August</t>
  </si>
  <si>
    <t>July</t>
  </si>
  <si>
    <t>June</t>
  </si>
  <si>
    <t>183 King County Multifamily</t>
  </si>
  <si>
    <t>183 King County Single Family</t>
  </si>
  <si>
    <t>176 King County Multifamily</t>
  </si>
  <si>
    <t>176 King County Single Family</t>
  </si>
  <si>
    <t>172 King County Multifamily</t>
  </si>
  <si>
    <t>172 King County Single Family</t>
  </si>
  <si>
    <t>Snohomish County Multifamily</t>
  </si>
  <si>
    <t>Snohomish County Single Family</t>
  </si>
  <si>
    <t>Staffing</t>
  </si>
  <si>
    <t>External Communication &amp; Outreach</t>
  </si>
  <si>
    <t>School Recycling Education &amp; Outreach</t>
  </si>
  <si>
    <t>Lynnwood Single-Family Customers</t>
  </si>
  <si>
    <t>Lynnwood Multi-Family Yards</t>
  </si>
  <si>
    <t>Overspend / (Additional Passback)</t>
  </si>
  <si>
    <t>Project Management/Administration and Coordination (30%)</t>
  </si>
  <si>
    <t>Revenue Share Agreement Administrator</t>
  </si>
  <si>
    <t>Snohomish Co.</t>
  </si>
  <si>
    <t>King Co.</t>
  </si>
  <si>
    <t>Part A of Prior (May 1, 2011 through April 30, 2012) Plan Year</t>
  </si>
  <si>
    <r>
      <t xml:space="preserve">2013 - 2014 Plan Year (Budget) Management &amp; Administrative Costs </t>
    </r>
    <r>
      <rPr>
        <b/>
        <i/>
        <sz val="11"/>
        <color theme="1"/>
        <rFont val="Calibri"/>
        <family val="2"/>
        <scheme val="minor"/>
      </rPr>
      <t>(body of table is average hours / week)</t>
    </r>
  </si>
  <si>
    <r>
      <t xml:space="preserve">2012 - 2013 Plan Year Management &amp; Administrative Costs  </t>
    </r>
    <r>
      <rPr>
        <b/>
        <i/>
        <sz val="11"/>
        <color theme="1"/>
        <rFont val="Calibri"/>
        <family val="2"/>
        <scheme val="minor"/>
      </rPr>
      <t>(body of table is average hours / week)</t>
    </r>
  </si>
  <si>
    <t>1/1/2011 - 12/31/2011</t>
  </si>
  <si>
    <t>1/1/2012 - 12/31/2012</t>
  </si>
  <si>
    <t>1/1/2009 - 12/31/2009</t>
  </si>
  <si>
    <t>1/1/2010 - 12/31/2010</t>
  </si>
  <si>
    <t>1/1/2012 - 07/31/2012 *</t>
  </si>
  <si>
    <t>For Reporting Period Incetive:</t>
  </si>
  <si>
    <t>- - -</t>
  </si>
  <si>
    <t>Period</t>
  </si>
  <si>
    <t>5/1/2011 - 4/30/2012 **</t>
  </si>
  <si>
    <t>5/1/2012 - 4/30/2013 **</t>
  </si>
  <si>
    <t>** Note: The financial incentive to Republic Services is based on comparison of Diversion Rates for May 1 through April 30 of the current reporting period to the same timeline of the previous reporting period.</t>
  </si>
  <si>
    <t>* Note: Period for 1/1/2012 - 07/31/2012 is repored in addition to calendar year 2012 because the respective plan year was shortened for the purpose of aligning all Republic Services RSA Timelines.</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</si>
</sst>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41" formatCode="_(* #,##0_);_(* \(#,##0\);_(* &quot;-&quot;_);_(@_)"/>
    <numFmt numFmtId="44" formatCode="_(&quot;$&quot;* #,##0.00_);_(&quot;$&quot;* \(#,##0.00\);_(&quot;$&quot;* &quot;-&quot;??_);_(@_)"/>
    <numFmt numFmtId="43" formatCode="_(* #,##0.00_);_(* \(#,##0.00\);_(* &quot;-&quot;??_);_(@_)"/>
    <numFmt numFmtId="164" formatCode="_(&quot;$&quot;* #,##0_);_(&quot;$&quot;* \(#,##0\);_(&quot;$&quot;* &quot;-&quot;??_);_(@_)"/>
    <numFmt numFmtId="165" formatCode="0.0%"/>
    <numFmt numFmtId="166" formatCode="_(* #,##0_);_(* \(#,##0\);_(* &quot;-&quot;??_);_(@_)"/>
    <numFmt numFmtId="167" formatCode="_(* #,##0.0_);_(* \(#,##0.0\);_(* &quot;-&quot;??_);_(@_)"/>
    <numFmt numFmtId="168" formatCode="[$-409]mmm\-yy;@"/>
    <numFmt numFmtId="169" formatCode="_(&quot;$&quot;* #,##0.0000_);_(&quot;$&quot;* \(#,##0.0000\);_(&quot;$&quot;* &quot;-&quot;??_);_(@_)"/>
    <numFmt numFmtId="170" formatCode="0.0"/>
  </numFmts>
  <fonts count="38" x14ac:knownFonts="1">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sz val="9"/>
      <color indexed="8"/>
      <name val="Arial"/>
      <family val="2"/>
    </font>
    <font>
      <sz val="9"/>
      <name val="Arial"/>
      <family val="2"/>
    </font>
    <font>
      <sz val="10"/>
      <name val="Tahoma"/>
      <family val="2"/>
    </font>
    <font>
      <sz val="10"/>
      <color indexed="8"/>
      <name val="Arial"/>
      <family val="2"/>
    </font>
    <font>
      <b/>
      <sz val="12"/>
      <name val="Arial"/>
      <family val="2"/>
    </font>
    <font>
      <sz val="10"/>
      <color indexed="23"/>
      <name val="Arial"/>
      <family val="2"/>
    </font>
    <font>
      <i/>
      <sz val="10"/>
      <name val="Arial"/>
      <family val="2"/>
    </font>
    <font>
      <sz val="12"/>
      <name val="Arial"/>
      <family val="2"/>
    </font>
    <font>
      <sz val="8"/>
      <name val="Arial"/>
      <family val="2"/>
    </font>
    <font>
      <sz val="10"/>
      <name val="Symbol"/>
      <family val="1"/>
      <charset val="2"/>
    </font>
    <font>
      <sz val="10"/>
      <name val="MS Sans Serif"/>
      <family val="2"/>
    </font>
    <font>
      <sz val="8"/>
      <color indexed="12"/>
      <name val="Arial"/>
      <family val="2"/>
    </font>
    <font>
      <sz val="8"/>
      <color indexed="81"/>
      <name val="Tahoma"/>
      <family val="2"/>
    </font>
    <font>
      <i/>
      <sz val="8"/>
      <name val="Arial"/>
      <family val="2"/>
    </font>
    <font>
      <b/>
      <sz val="11"/>
      <color theme="1"/>
      <name val="Calibri"/>
      <family val="2"/>
      <scheme val="minor"/>
    </font>
    <font>
      <sz val="11"/>
      <color theme="1"/>
      <name val="Calibri"/>
      <family val="2"/>
    </font>
    <font>
      <b/>
      <sz val="11"/>
      <color theme="1"/>
      <name val="Calibri"/>
      <family val="2"/>
    </font>
    <font>
      <i/>
      <sz val="11"/>
      <color theme="0" tint="-0.34998626667073579"/>
      <name val="Calibri"/>
      <family val="2"/>
    </font>
    <font>
      <i/>
      <sz val="11"/>
      <color theme="1"/>
      <name val="Calibri"/>
      <family val="2"/>
      <scheme val="minor"/>
    </font>
    <font>
      <sz val="11"/>
      <color theme="0" tint="-0.34998626667073579"/>
      <name val="Calibri"/>
      <family val="2"/>
    </font>
    <font>
      <sz val="11"/>
      <color theme="0" tint="-0.34998626667073579"/>
      <name val="Calibri"/>
      <family val="2"/>
      <scheme val="minor"/>
    </font>
    <font>
      <b/>
      <sz val="9"/>
      <color indexed="81"/>
      <name val="Tahoma"/>
      <family val="2"/>
    </font>
    <font>
      <sz val="9"/>
      <color indexed="81"/>
      <name val="Tahoma"/>
      <family val="2"/>
    </font>
    <font>
      <sz val="10"/>
      <color rgb="FFFF0000"/>
      <name val="Arial"/>
      <family val="2"/>
    </font>
    <font>
      <b/>
      <sz val="12"/>
      <color theme="1"/>
      <name val="Calibri"/>
      <family val="2"/>
      <scheme val="minor"/>
    </font>
    <font>
      <strike/>
      <sz val="11"/>
      <color theme="1"/>
      <name val="Calibri"/>
      <family val="2"/>
      <scheme val="minor"/>
    </font>
    <font>
      <b/>
      <strike/>
      <sz val="11"/>
      <color theme="1"/>
      <name val="Calibri"/>
      <family val="2"/>
      <scheme val="minor"/>
    </font>
    <font>
      <b/>
      <strike/>
      <sz val="12"/>
      <color theme="1"/>
      <name val="Calibri"/>
      <family val="2"/>
      <scheme val="minor"/>
    </font>
    <font>
      <b/>
      <i/>
      <sz val="11"/>
      <color theme="1"/>
      <name val="Calibri"/>
      <family val="2"/>
      <scheme val="minor"/>
    </font>
    <font>
      <i/>
      <sz val="9"/>
      <color rgb="FF0070C0"/>
      <name val="Arial"/>
      <family val="2"/>
    </font>
  </fonts>
  <fills count="7">
    <fill>
      <patternFill patternType="none"/>
    </fill>
    <fill>
      <patternFill patternType="gray125"/>
    </fill>
    <fill>
      <patternFill patternType="solid">
        <fgColor indexed="22"/>
        <bgColor indexed="64"/>
      </patternFill>
    </fill>
    <fill>
      <patternFill patternType="darkUp"/>
    </fill>
    <fill>
      <patternFill patternType="gray0625">
        <bgColor theme="0" tint="-0.14996795556505021"/>
      </patternFill>
    </fill>
    <fill>
      <patternFill patternType="solid">
        <fgColor theme="7" tint="-0.249977111117893"/>
        <bgColor indexed="64"/>
      </patternFill>
    </fill>
    <fill>
      <patternFill patternType="gray0625"/>
    </fill>
  </fills>
  <borders count="27">
    <border>
      <left/>
      <right/>
      <top/>
      <bottom/>
      <diagonal/>
    </border>
    <border>
      <left/>
      <right/>
      <top style="thin">
        <color indexed="64"/>
      </top>
      <bottom style="thin">
        <color indexed="64"/>
      </bottom>
      <diagonal/>
    </border>
    <border>
      <left/>
      <right/>
      <top style="thin">
        <color indexed="64"/>
      </top>
      <bottom style="medium">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s>
  <cellStyleXfs count="15">
    <xf numFmtId="0" fontId="0" fillId="0" borderId="0"/>
    <xf numFmtId="43" fontId="6" fillId="0" borderId="0" applyFont="0" applyFill="0" applyBorder="0" applyAlignment="0" applyProtection="0"/>
    <xf numFmtId="44" fontId="6" fillId="0" borderId="0" applyFont="0" applyFill="0" applyBorder="0" applyAlignment="0" applyProtection="0"/>
    <xf numFmtId="9" fontId="6" fillId="0" borderId="0" applyFont="0" applyFill="0" applyBorder="0" applyAlignment="0" applyProtection="0"/>
    <xf numFmtId="0" fontId="10" fillId="0" borderId="0"/>
    <xf numFmtId="0" fontId="5" fillId="0" borderId="0"/>
    <xf numFmtId="9"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0" fontId="18" fillId="0" borderId="0"/>
    <xf numFmtId="0" fontId="3" fillId="0" borderId="0"/>
    <xf numFmtId="0" fontId="1" fillId="0" borderId="0"/>
    <xf numFmtId="43" fontId="1" fillId="0" borderId="0" applyFont="0" applyFill="0" applyBorder="0" applyAlignment="0" applyProtection="0"/>
    <xf numFmtId="44" fontId="1" fillId="0" borderId="0" applyFont="0" applyFill="0" applyBorder="0" applyAlignment="0" applyProtection="0"/>
    <xf numFmtId="0" fontId="1" fillId="0" borderId="0"/>
  </cellStyleXfs>
  <cellXfs count="242">
    <xf numFmtId="0" fontId="0" fillId="0" borderId="0" xfId="0"/>
    <xf numFmtId="0" fontId="6" fillId="0" borderId="0" xfId="0" applyFont="1"/>
    <xf numFmtId="164" fontId="6" fillId="0" borderId="0" xfId="2" applyNumberFormat="1" applyFont="1"/>
    <xf numFmtId="164" fontId="6" fillId="0" borderId="0" xfId="0" applyNumberFormat="1" applyFont="1"/>
    <xf numFmtId="165" fontId="6" fillId="0" borderId="0" xfId="3" applyNumberFormat="1" applyFont="1"/>
    <xf numFmtId="44" fontId="6" fillId="0" borderId="0" xfId="0" applyNumberFormat="1" applyFont="1"/>
    <xf numFmtId="164" fontId="7" fillId="0" borderId="0" xfId="2" applyNumberFormat="1" applyFont="1" applyFill="1" applyBorder="1"/>
    <xf numFmtId="164" fontId="7" fillId="0" borderId="0" xfId="2" applyNumberFormat="1" applyFont="1" applyBorder="1"/>
    <xf numFmtId="0" fontId="6" fillId="0" borderId="0" xfId="0" applyFont="1" applyBorder="1"/>
    <xf numFmtId="164" fontId="6" fillId="0" borderId="0" xfId="0" applyNumberFormat="1" applyFont="1" applyBorder="1"/>
    <xf numFmtId="0" fontId="7" fillId="0" borderId="0" xfId="0" applyFont="1" applyBorder="1"/>
    <xf numFmtId="164" fontId="7" fillId="0" borderId="2" xfId="2" applyNumberFormat="1" applyFont="1" applyBorder="1"/>
    <xf numFmtId="164" fontId="8" fillId="0" borderId="0" xfId="2" applyNumberFormat="1" applyFont="1" applyFill="1" applyBorder="1" applyAlignment="1">
      <alignment horizontal="right" vertical="top"/>
    </xf>
    <xf numFmtId="164" fontId="9" fillId="0" borderId="0" xfId="0" applyNumberFormat="1" applyFont="1" applyAlignment="1"/>
    <xf numFmtId="0" fontId="9" fillId="0" borderId="0" xfId="0" applyFont="1"/>
    <xf numFmtId="44" fontId="8" fillId="0" borderId="0" xfId="4" applyNumberFormat="1" applyFont="1" applyFill="1" applyBorder="1" applyAlignment="1">
      <alignment horizontal="left" vertical="top"/>
    </xf>
    <xf numFmtId="166" fontId="8" fillId="0" borderId="0" xfId="1" applyNumberFormat="1" applyFont="1" applyFill="1" applyBorder="1" applyAlignment="1">
      <alignment horizontal="left" vertical="top"/>
    </xf>
    <xf numFmtId="164" fontId="8" fillId="0" borderId="0" xfId="4" applyNumberFormat="1" applyFont="1" applyFill="1" applyBorder="1" applyAlignment="1">
      <alignment horizontal="left" vertical="top" indent="1"/>
    </xf>
    <xf numFmtId="164" fontId="11" fillId="0" borderId="0" xfId="2" applyNumberFormat="1" applyFont="1" applyFill="1" applyBorder="1" applyAlignment="1">
      <alignment horizontal="right" vertical="top"/>
    </xf>
    <xf numFmtId="164" fontId="8" fillId="0" borderId="0" xfId="2" applyNumberFormat="1" applyFont="1" applyFill="1" applyBorder="1" applyAlignment="1">
      <alignment vertical="top"/>
    </xf>
    <xf numFmtId="0" fontId="6" fillId="0" borderId="0" xfId="0" applyFont="1" applyFill="1" applyBorder="1"/>
    <xf numFmtId="0" fontId="11" fillId="0" borderId="0" xfId="4" applyNumberFormat="1" applyFont="1" applyFill="1" applyBorder="1" applyAlignment="1">
      <alignment horizontal="left" vertical="top"/>
    </xf>
    <xf numFmtId="164" fontId="7" fillId="0" borderId="0" xfId="0" applyNumberFormat="1" applyFont="1" applyBorder="1" applyAlignment="1">
      <alignment horizontal="center"/>
    </xf>
    <xf numFmtId="164" fontId="7" fillId="0" borderId="3" xfId="0" applyNumberFormat="1" applyFont="1" applyBorder="1" applyAlignment="1">
      <alignment horizontal="center"/>
    </xf>
    <xf numFmtId="0" fontId="6" fillId="0" borderId="3" xfId="0" applyFont="1" applyBorder="1"/>
    <xf numFmtId="0" fontId="7" fillId="0" borderId="3" xfId="0" applyFont="1" applyBorder="1"/>
    <xf numFmtId="164" fontId="6" fillId="2" borderId="4" xfId="2" applyNumberFormat="1" applyFont="1" applyFill="1" applyBorder="1"/>
    <xf numFmtId="0" fontId="6" fillId="2" borderId="1" xfId="0" applyFont="1" applyFill="1" applyBorder="1"/>
    <xf numFmtId="164" fontId="6" fillId="2" borderId="1" xfId="0" applyNumberFormat="1" applyFont="1" applyFill="1" applyBorder="1"/>
    <xf numFmtId="0" fontId="12" fillId="2" borderId="5" xfId="0" applyFont="1" applyFill="1" applyBorder="1"/>
    <xf numFmtId="164" fontId="6" fillId="0" borderId="3" xfId="2" applyNumberFormat="1" applyFont="1" applyBorder="1"/>
    <xf numFmtId="164" fontId="6" fillId="0" borderId="3" xfId="0" applyNumberFormat="1" applyFont="1" applyBorder="1"/>
    <xf numFmtId="0" fontId="6" fillId="0" borderId="0" xfId="0" applyFont="1" applyAlignment="1">
      <alignment horizontal="right"/>
    </xf>
    <xf numFmtId="0" fontId="7" fillId="0" borderId="0" xfId="0" applyFont="1" applyAlignment="1">
      <alignment horizontal="left"/>
    </xf>
    <xf numFmtId="164" fontId="6" fillId="0" borderId="0" xfId="2" applyNumberFormat="1" applyFont="1" applyFill="1" applyBorder="1"/>
    <xf numFmtId="164" fontId="6" fillId="0" borderId="0" xfId="2" applyNumberFormat="1" applyFont="1" applyBorder="1"/>
    <xf numFmtId="164" fontId="6" fillId="0" borderId="0" xfId="0" applyNumberFormat="1" applyFont="1" applyFill="1"/>
    <xf numFmtId="164" fontId="6" fillId="0" borderId="0" xfId="2" applyNumberFormat="1" applyFont="1" applyFill="1" applyBorder="1" applyAlignment="1">
      <alignment horizontal="center"/>
    </xf>
    <xf numFmtId="164" fontId="6" fillId="0" borderId="0" xfId="2" applyNumberFormat="1" applyFont="1" applyAlignment="1">
      <alignment horizontal="center"/>
    </xf>
    <xf numFmtId="164" fontId="6" fillId="0" borderId="0" xfId="0" applyNumberFormat="1" applyFont="1" applyAlignment="1"/>
    <xf numFmtId="164" fontId="6" fillId="0" borderId="0" xfId="0" applyNumberFormat="1" applyFont="1" applyAlignment="1">
      <alignment horizontal="center"/>
    </xf>
    <xf numFmtId="0" fontId="12" fillId="0" borderId="0" xfId="0" applyFont="1" applyFill="1" applyBorder="1" applyAlignment="1">
      <alignment horizontal="center"/>
    </xf>
    <xf numFmtId="43" fontId="6" fillId="0" borderId="0" xfId="1" applyFont="1"/>
    <xf numFmtId="164" fontId="13" fillId="0" borderId="0" xfId="2" applyNumberFormat="1" applyFont="1"/>
    <xf numFmtId="164" fontId="13" fillId="0" borderId="0" xfId="1" applyNumberFormat="1" applyFont="1"/>
    <xf numFmtId="164" fontId="0" fillId="0" borderId="0" xfId="0" applyNumberFormat="1" applyAlignment="1">
      <alignment horizontal="center"/>
    </xf>
    <xf numFmtId="0" fontId="0" fillId="0" borderId="0" xfId="0" applyAlignment="1">
      <alignment horizontal="center"/>
    </xf>
    <xf numFmtId="0" fontId="15" fillId="0" borderId="0" xfId="0" quotePrefix="1" applyFont="1" applyAlignment="1">
      <alignment horizontal="left"/>
    </xf>
    <xf numFmtId="0" fontId="0" fillId="0" borderId="0" xfId="0" applyAlignment="1"/>
    <xf numFmtId="164" fontId="6" fillId="0" borderId="0" xfId="2" applyNumberFormat="1" applyFont="1" applyAlignment="1"/>
    <xf numFmtId="164" fontId="0" fillId="0" borderId="0" xfId="0" applyNumberFormat="1" applyAlignment="1"/>
    <xf numFmtId="164" fontId="15" fillId="0" borderId="0" xfId="0" applyNumberFormat="1" applyFont="1" applyAlignment="1"/>
    <xf numFmtId="0" fontId="15" fillId="0" borderId="0" xfId="0" applyFont="1" applyAlignment="1"/>
    <xf numFmtId="0" fontId="12" fillId="0" borderId="0" xfId="0" applyFont="1" applyAlignment="1"/>
    <xf numFmtId="164" fontId="12" fillId="0" borderId="0" xfId="2" applyNumberFormat="1" applyFont="1" applyAlignment="1"/>
    <xf numFmtId="164" fontId="12" fillId="0" borderId="0" xfId="0" applyNumberFormat="1" applyFont="1" applyAlignment="1"/>
    <xf numFmtId="164" fontId="7" fillId="0" borderId="0" xfId="0" applyNumberFormat="1" applyFont="1" applyAlignment="1"/>
    <xf numFmtId="0" fontId="7" fillId="0" borderId="0" xfId="0" applyFont="1" applyAlignment="1"/>
    <xf numFmtId="164" fontId="7" fillId="0" borderId="0" xfId="2" applyNumberFormat="1" applyFont="1" applyAlignment="1"/>
    <xf numFmtId="0" fontId="6" fillId="0" borderId="0" xfId="0" applyFont="1" applyAlignment="1"/>
    <xf numFmtId="0" fontId="0" fillId="0" borderId="1" xfId="0" applyBorder="1" applyAlignment="1">
      <alignment horizontal="center" wrapText="1"/>
    </xf>
    <xf numFmtId="167" fontId="6" fillId="0" borderId="0" xfId="1" applyNumberFormat="1"/>
    <xf numFmtId="166" fontId="6" fillId="0" borderId="0" xfId="1" applyNumberFormat="1"/>
    <xf numFmtId="167" fontId="0" fillId="0" borderId="0" xfId="0" applyNumberFormat="1"/>
    <xf numFmtId="165" fontId="6" fillId="0" borderId="0" xfId="3" applyNumberFormat="1"/>
    <xf numFmtId="43" fontId="0" fillId="0" borderId="0" xfId="0" applyNumberFormat="1"/>
    <xf numFmtId="167" fontId="6" fillId="0" borderId="0" xfId="1" applyNumberFormat="1" applyFill="1"/>
    <xf numFmtId="167" fontId="6" fillId="0" borderId="0" xfId="1" applyNumberFormat="1" applyAlignment="1">
      <alignment horizontal="center"/>
    </xf>
    <xf numFmtId="167" fontId="6" fillId="0" borderId="0" xfId="1" applyNumberFormat="1" applyFont="1"/>
    <xf numFmtId="0" fontId="0" fillId="0" borderId="0" xfId="0" quotePrefix="1"/>
    <xf numFmtId="0" fontId="0" fillId="0" borderId="0" xfId="0" applyAlignment="1">
      <alignment horizontal="right"/>
    </xf>
    <xf numFmtId="0" fontId="17" fillId="0" borderId="0" xfId="0" applyFont="1" applyAlignment="1">
      <alignment horizontal="right"/>
    </xf>
    <xf numFmtId="166" fontId="0" fillId="0" borderId="17" xfId="0" applyNumberFormat="1" applyBorder="1"/>
    <xf numFmtId="0" fontId="5" fillId="0" borderId="0" xfId="5"/>
    <xf numFmtId="165" fontId="6" fillId="0" borderId="0" xfId="6" applyNumberFormat="1" applyFont="1"/>
    <xf numFmtId="164" fontId="5" fillId="0" borderId="0" xfId="5" applyNumberFormat="1"/>
    <xf numFmtId="9" fontId="0" fillId="0" borderId="0" xfId="6" applyFont="1"/>
    <xf numFmtId="9" fontId="5" fillId="0" borderId="0" xfId="5" applyNumberFormat="1"/>
    <xf numFmtId="164" fontId="6" fillId="0" borderId="0" xfId="8" applyNumberFormat="1" applyFont="1"/>
    <xf numFmtId="0" fontId="5" fillId="0" borderId="0" xfId="5" applyAlignment="1">
      <alignment vertical="center"/>
    </xf>
    <xf numFmtId="0" fontId="5" fillId="0" borderId="0" xfId="5" applyAlignment="1">
      <alignment vertical="center" wrapText="1"/>
    </xf>
    <xf numFmtId="165" fontId="6" fillId="0" borderId="0" xfId="6" applyNumberFormat="1" applyFont="1" applyAlignment="1">
      <alignment vertical="center"/>
    </xf>
    <xf numFmtId="164" fontId="7" fillId="0" borderId="18" xfId="8" applyNumberFormat="1" applyFont="1" applyBorder="1" applyAlignment="1">
      <alignment vertical="center"/>
    </xf>
    <xf numFmtId="0" fontId="7" fillId="0" borderId="0" xfId="5" applyFont="1" applyAlignment="1">
      <alignment vertical="center"/>
    </xf>
    <xf numFmtId="164" fontId="8" fillId="0" borderId="0" xfId="8" applyNumberFormat="1" applyFont="1" applyFill="1" applyBorder="1" applyAlignment="1">
      <alignment vertical="top"/>
    </xf>
    <xf numFmtId="166" fontId="6" fillId="0" borderId="0" xfId="7" applyNumberFormat="1" applyFont="1" applyAlignment="1">
      <alignment vertical="center"/>
    </xf>
    <xf numFmtId="44" fontId="6" fillId="0" borderId="0" xfId="8" applyFont="1" applyAlignment="1">
      <alignment vertical="center" wrapText="1"/>
    </xf>
    <xf numFmtId="0" fontId="6" fillId="0" borderId="0" xfId="5" applyFont="1"/>
    <xf numFmtId="0" fontId="6" fillId="0" borderId="0" xfId="5" applyFont="1" applyFill="1" applyBorder="1"/>
    <xf numFmtId="0" fontId="6" fillId="0" borderId="0" xfId="5" applyFont="1" applyBorder="1"/>
    <xf numFmtId="164" fontId="7" fillId="0" borderId="0" xfId="5" applyNumberFormat="1" applyFont="1" applyBorder="1" applyAlignment="1">
      <alignment horizontal="center"/>
    </xf>
    <xf numFmtId="44" fontId="6" fillId="0" borderId="0" xfId="8" applyFont="1" applyAlignment="1">
      <alignment vertical="center"/>
    </xf>
    <xf numFmtId="164" fontId="6" fillId="2" borderId="4" xfId="8" applyNumberFormat="1" applyFont="1" applyFill="1" applyBorder="1"/>
    <xf numFmtId="0" fontId="6" fillId="2" borderId="1" xfId="5" applyFont="1" applyFill="1" applyBorder="1"/>
    <xf numFmtId="164" fontId="6" fillId="2" borderId="1" xfId="5" applyNumberFormat="1" applyFont="1" applyFill="1" applyBorder="1"/>
    <xf numFmtId="0" fontId="12" fillId="2" borderId="5" xfId="5" applyFont="1" applyFill="1" applyBorder="1"/>
    <xf numFmtId="164" fontId="6" fillId="0" borderId="3" xfId="8" applyNumberFormat="1" applyFont="1" applyBorder="1"/>
    <xf numFmtId="0" fontId="6" fillId="0" borderId="3" xfId="5" applyFont="1" applyBorder="1"/>
    <xf numFmtId="164" fontId="6" fillId="0" borderId="3" xfId="5" applyNumberFormat="1" applyFont="1" applyBorder="1"/>
    <xf numFmtId="164" fontId="6" fillId="0" borderId="0" xfId="5" applyNumberFormat="1" applyFont="1"/>
    <xf numFmtId="41" fontId="19" fillId="0" borderId="0" xfId="9" applyNumberFormat="1" applyFont="1"/>
    <xf numFmtId="0" fontId="7" fillId="0" borderId="0" xfId="5" applyFont="1" applyAlignment="1">
      <alignment horizontal="left"/>
    </xf>
    <xf numFmtId="164" fontId="6" fillId="0" borderId="0" xfId="8" applyNumberFormat="1" applyFont="1" applyFill="1" applyBorder="1"/>
    <xf numFmtId="164" fontId="6" fillId="0" borderId="0" xfId="8" applyNumberFormat="1" applyFont="1" applyFill="1" applyBorder="1" applyAlignment="1">
      <alignment horizontal="center"/>
    </xf>
    <xf numFmtId="0" fontId="12" fillId="0" borderId="0" xfId="5" applyFont="1" applyFill="1" applyBorder="1" applyAlignment="1">
      <alignment horizontal="center"/>
    </xf>
    <xf numFmtId="168" fontId="0" fillId="0" borderId="0" xfId="0" applyNumberFormat="1"/>
    <xf numFmtId="0" fontId="4" fillId="0" borderId="0" xfId="5" applyFont="1"/>
    <xf numFmtId="10" fontId="5" fillId="0" borderId="0" xfId="5" applyNumberFormat="1"/>
    <xf numFmtId="0" fontId="3" fillId="0" borderId="0" xfId="10"/>
    <xf numFmtId="0" fontId="3" fillId="0" borderId="0" xfId="10" applyFill="1"/>
    <xf numFmtId="43" fontId="3" fillId="0" borderId="0" xfId="10" applyNumberFormat="1" applyFill="1"/>
    <xf numFmtId="43" fontId="3" fillId="0" borderId="0" xfId="10" applyNumberFormat="1"/>
    <xf numFmtId="2" fontId="3" fillId="0" borderId="0" xfId="10" applyNumberFormat="1"/>
    <xf numFmtId="167" fontId="6" fillId="0" borderId="0" xfId="1" applyNumberFormat="1" applyFont="1" applyFill="1"/>
    <xf numFmtId="166" fontId="6" fillId="0" borderId="0" xfId="1" applyNumberFormat="1" applyFill="1"/>
    <xf numFmtId="167" fontId="6" fillId="0" borderId="0" xfId="1" applyNumberFormat="1" applyFont="1" applyAlignment="1">
      <alignment horizontal="center"/>
    </xf>
    <xf numFmtId="0" fontId="21" fillId="0" borderId="0" xfId="0" applyFont="1"/>
    <xf numFmtId="0" fontId="15" fillId="0" borderId="0" xfId="0" quotePrefix="1" applyFont="1" applyFill="1" applyAlignment="1">
      <alignment horizontal="left"/>
    </xf>
    <xf numFmtId="164" fontId="22" fillId="0" borderId="18" xfId="5" applyNumberFormat="1" applyFont="1" applyBorder="1"/>
    <xf numFmtId="0" fontId="0" fillId="0" borderId="0" xfId="0" applyFont="1"/>
    <xf numFmtId="0" fontId="6" fillId="0" borderId="0" xfId="0" applyFont="1" applyFill="1"/>
    <xf numFmtId="10" fontId="6" fillId="0" borderId="0" xfId="3" applyNumberFormat="1" applyFont="1"/>
    <xf numFmtId="0" fontId="12" fillId="0" borderId="0" xfId="5" applyFont="1" applyFill="1" applyBorder="1"/>
    <xf numFmtId="164" fontId="6" fillId="0" borderId="0" xfId="5" applyNumberFormat="1" applyFont="1" applyFill="1" applyBorder="1"/>
    <xf numFmtId="0" fontId="6" fillId="0" borderId="0" xfId="5" applyFont="1" applyFill="1"/>
    <xf numFmtId="0" fontId="14" fillId="0" borderId="0" xfId="0" applyFont="1" applyBorder="1" applyAlignment="1">
      <alignment vertical="center"/>
    </xf>
    <xf numFmtId="0" fontId="14" fillId="0" borderId="0" xfId="0" applyFont="1"/>
    <xf numFmtId="164" fontId="14" fillId="0" borderId="0" xfId="0" applyNumberFormat="1" applyFont="1"/>
    <xf numFmtId="164" fontId="14" fillId="0" borderId="1" xfId="2" applyNumberFormat="1" applyFont="1" applyBorder="1"/>
    <xf numFmtId="166" fontId="7" fillId="0" borderId="0" xfId="1" applyNumberFormat="1" applyFont="1" applyBorder="1"/>
    <xf numFmtId="0" fontId="2" fillId="0" borderId="0" xfId="5" applyFont="1"/>
    <xf numFmtId="0" fontId="23" fillId="0" borderId="7" xfId="11" applyFont="1" applyBorder="1" applyAlignment="1">
      <alignment vertical="center" wrapText="1"/>
    </xf>
    <xf numFmtId="0" fontId="23" fillId="0" borderId="7" xfId="11" applyFont="1" applyBorder="1" applyAlignment="1">
      <alignment horizontal="center" vertical="center" wrapText="1"/>
    </xf>
    <xf numFmtId="0" fontId="24" fillId="0" borderId="7" xfId="11" applyFont="1" applyBorder="1" applyAlignment="1">
      <alignment horizontal="center" vertical="center" wrapText="1"/>
    </xf>
    <xf numFmtId="0" fontId="1" fillId="0" borderId="0" xfId="11"/>
    <xf numFmtId="17" fontId="23" fillId="0" borderId="0" xfId="11" applyNumberFormat="1" applyFont="1" applyBorder="1" applyAlignment="1">
      <alignment vertical="center" wrapText="1"/>
    </xf>
    <xf numFmtId="0" fontId="23" fillId="3" borderId="0" xfId="11" applyFont="1" applyFill="1" applyBorder="1" applyAlignment="1">
      <alignment horizontal="center" vertical="center" wrapText="1"/>
    </xf>
    <xf numFmtId="0" fontId="23" fillId="0" borderId="0" xfId="11" applyFont="1" applyBorder="1" applyAlignment="1">
      <alignment horizontal="center" vertical="center" wrapText="1"/>
    </xf>
    <xf numFmtId="0" fontId="23" fillId="0" borderId="0" xfId="11" applyFont="1" applyBorder="1" applyAlignment="1">
      <alignment vertical="center" wrapText="1"/>
    </xf>
    <xf numFmtId="17" fontId="23" fillId="4" borderId="0" xfId="11" applyNumberFormat="1" applyFont="1" applyFill="1" applyBorder="1" applyAlignment="1">
      <alignment vertical="center" wrapText="1"/>
    </xf>
    <xf numFmtId="0" fontId="1" fillId="0" borderId="0" xfId="11" applyAlignment="1">
      <alignment wrapText="1"/>
    </xf>
    <xf numFmtId="17" fontId="25" fillId="0" borderId="0" xfId="11" applyNumberFormat="1" applyFont="1" applyBorder="1" applyAlignment="1">
      <alignment vertical="center" wrapText="1"/>
    </xf>
    <xf numFmtId="0" fontId="25" fillId="0" borderId="0" xfId="11" applyFont="1" applyBorder="1" applyAlignment="1">
      <alignment horizontal="center" vertical="center" wrapText="1"/>
    </xf>
    <xf numFmtId="0" fontId="25" fillId="3" borderId="0" xfId="11" applyFont="1" applyFill="1" applyBorder="1" applyAlignment="1">
      <alignment horizontal="center" vertical="center" wrapText="1"/>
    </xf>
    <xf numFmtId="0" fontId="25" fillId="0" borderId="0" xfId="11" applyFont="1" applyBorder="1" applyAlignment="1">
      <alignment vertical="center" wrapText="1"/>
    </xf>
    <xf numFmtId="0" fontId="1" fillId="0" borderId="1" xfId="11" applyBorder="1" applyAlignment="1">
      <alignment horizontal="right"/>
    </xf>
    <xf numFmtId="43" fontId="0" fillId="0" borderId="1" xfId="12" applyFont="1" applyBorder="1" applyAlignment="1">
      <alignment horizontal="center"/>
    </xf>
    <xf numFmtId="0" fontId="26" fillId="0" borderId="0" xfId="11" quotePrefix="1" applyFont="1"/>
    <xf numFmtId="0" fontId="1" fillId="0" borderId="0" xfId="11" applyAlignment="1">
      <alignment horizontal="center" wrapText="1"/>
    </xf>
    <xf numFmtId="0" fontId="1" fillId="0" borderId="0" xfId="11" applyAlignment="1">
      <alignment horizontal="right"/>
    </xf>
    <xf numFmtId="44" fontId="23" fillId="0" borderId="0" xfId="13" applyFont="1" applyFill="1" applyBorder="1" applyAlignment="1">
      <alignment horizontal="center" vertical="center" wrapText="1"/>
    </xf>
    <xf numFmtId="169" fontId="0" fillId="0" borderId="18" xfId="13" applyNumberFormat="1" applyFont="1" applyBorder="1" applyAlignment="1">
      <alignment horizontal="right"/>
    </xf>
    <xf numFmtId="44" fontId="0" fillId="0" borderId="18" xfId="13" applyNumberFormat="1" applyFont="1" applyBorder="1"/>
    <xf numFmtId="44" fontId="0" fillId="0" borderId="0" xfId="13" applyNumberFormat="1" applyFont="1" applyFill="1" applyBorder="1"/>
    <xf numFmtId="44" fontId="1" fillId="0" borderId="0" xfId="11" applyNumberFormat="1"/>
    <xf numFmtId="0" fontId="1" fillId="0" borderId="0" xfId="11" applyAlignment="1"/>
    <xf numFmtId="0" fontId="1" fillId="0" borderId="7" xfId="11" applyBorder="1" applyAlignment="1">
      <alignment horizontal="center" wrapText="1"/>
    </xf>
    <xf numFmtId="0" fontId="24" fillId="0" borderId="0" xfId="11" applyFont="1" applyBorder="1" applyAlignment="1">
      <alignment horizontal="center" vertical="center" wrapText="1"/>
    </xf>
    <xf numFmtId="2" fontId="23" fillId="0" borderId="0" xfId="11" applyNumberFormat="1" applyFont="1" applyBorder="1" applyAlignment="1">
      <alignment horizontal="center" vertical="center" wrapText="1"/>
    </xf>
    <xf numFmtId="43" fontId="23" fillId="0" borderId="0" xfId="12" applyFont="1" applyBorder="1" applyAlignment="1">
      <alignment horizontal="center" vertical="center" wrapText="1"/>
    </xf>
    <xf numFmtId="17" fontId="27" fillId="0" borderId="0" xfId="11" applyNumberFormat="1" applyFont="1" applyBorder="1" applyAlignment="1">
      <alignment vertical="center" wrapText="1"/>
    </xf>
    <xf numFmtId="2" fontId="25" fillId="0" borderId="0" xfId="11" applyNumberFormat="1" applyFont="1" applyBorder="1" applyAlignment="1">
      <alignment horizontal="center" vertical="center" wrapText="1"/>
    </xf>
    <xf numFmtId="0" fontId="28" fillId="0" borderId="0" xfId="11" applyFont="1"/>
    <xf numFmtId="2" fontId="27" fillId="0" borderId="0" xfId="11" applyNumberFormat="1" applyFont="1" applyBorder="1" applyAlignment="1">
      <alignment horizontal="center" vertical="center" wrapText="1"/>
    </xf>
    <xf numFmtId="43" fontId="0" fillId="0" borderId="0" xfId="12" applyFont="1" applyBorder="1" applyAlignment="1">
      <alignment horizontal="center"/>
    </xf>
    <xf numFmtId="0" fontId="1" fillId="0" borderId="0" xfId="11" applyAlignment="1">
      <alignment horizontal="center"/>
    </xf>
    <xf numFmtId="2" fontId="23" fillId="0" borderId="0" xfId="11" applyNumberFormat="1" applyFont="1" applyFill="1" applyBorder="1" applyAlignment="1">
      <alignment horizontal="center" vertical="center" wrapText="1"/>
    </xf>
    <xf numFmtId="0" fontId="1" fillId="0" borderId="0" xfId="11" applyAlignment="1">
      <alignment vertical="center"/>
    </xf>
    <xf numFmtId="170" fontId="23" fillId="0" borderId="0" xfId="11" applyNumberFormat="1" applyFont="1" applyBorder="1" applyAlignment="1">
      <alignment horizontal="center" vertical="center" wrapText="1"/>
    </xf>
    <xf numFmtId="17" fontId="25" fillId="0" borderId="7" xfId="11" applyNumberFormat="1" applyFont="1" applyBorder="1" applyAlignment="1">
      <alignment vertical="center" wrapText="1"/>
    </xf>
    <xf numFmtId="0" fontId="25" fillId="0" borderId="7" xfId="11" applyFont="1" applyBorder="1" applyAlignment="1">
      <alignment horizontal="center" vertical="center" wrapText="1"/>
    </xf>
    <xf numFmtId="17" fontId="23" fillId="5" borderId="0" xfId="11" applyNumberFormat="1" applyFont="1" applyFill="1" applyBorder="1" applyAlignment="1">
      <alignment vertical="center" wrapText="1"/>
    </xf>
    <xf numFmtId="0" fontId="1" fillId="0" borderId="0" xfId="5" applyFont="1"/>
    <xf numFmtId="0" fontId="26" fillId="0" borderId="0" xfId="5" applyFont="1"/>
    <xf numFmtId="44" fontId="26" fillId="0" borderId="0" xfId="5" applyNumberFormat="1" applyFont="1"/>
    <xf numFmtId="0" fontId="31" fillId="0" borderId="0" xfId="0" applyFont="1"/>
    <xf numFmtId="9" fontId="6" fillId="0" borderId="0" xfId="3" applyFont="1"/>
    <xf numFmtId="0" fontId="22" fillId="0" borderId="0" xfId="11" applyFont="1"/>
    <xf numFmtId="0" fontId="32" fillId="0" borderId="0" xfId="11" applyFont="1"/>
    <xf numFmtId="0" fontId="22" fillId="0" borderId="19" xfId="11" applyFont="1" applyBorder="1"/>
    <xf numFmtId="0" fontId="22" fillId="0" borderId="20" xfId="11" applyFont="1" applyBorder="1"/>
    <xf numFmtId="0" fontId="1" fillId="0" borderId="21" xfId="11" applyBorder="1"/>
    <xf numFmtId="0" fontId="1" fillId="0" borderId="17" xfId="11" applyBorder="1"/>
    <xf numFmtId="0" fontId="1" fillId="0" borderId="22" xfId="11" applyBorder="1"/>
    <xf numFmtId="0" fontId="22" fillId="0" borderId="26" xfId="11" applyFont="1" applyBorder="1"/>
    <xf numFmtId="0" fontId="33" fillId="0" borderId="25" xfId="11" applyFont="1" applyBorder="1"/>
    <xf numFmtId="0" fontId="33" fillId="0" borderId="24" xfId="11" applyFont="1" applyBorder="1"/>
    <xf numFmtId="0" fontId="33" fillId="0" borderId="23" xfId="11" applyFont="1" applyBorder="1"/>
    <xf numFmtId="0" fontId="33" fillId="0" borderId="0" xfId="11" applyFont="1"/>
    <xf numFmtId="0" fontId="33" fillId="0" borderId="22" xfId="11" applyFont="1" applyBorder="1"/>
    <xf numFmtId="0" fontId="33" fillId="0" borderId="17" xfId="11" applyFont="1" applyBorder="1"/>
    <xf numFmtId="0" fontId="33" fillId="0" borderId="21" xfId="11" applyFont="1" applyBorder="1"/>
    <xf numFmtId="0" fontId="34" fillId="0" borderId="20" xfId="11" applyFont="1" applyBorder="1"/>
    <xf numFmtId="0" fontId="34" fillId="0" borderId="19" xfId="11" applyFont="1" applyBorder="1"/>
    <xf numFmtId="0" fontId="34" fillId="0" borderId="0" xfId="11" applyFont="1"/>
    <xf numFmtId="0" fontId="35" fillId="0" borderId="0" xfId="11" applyFont="1"/>
    <xf numFmtId="0" fontId="22" fillId="0" borderId="25" xfId="11" applyFont="1" applyBorder="1"/>
    <xf numFmtId="0" fontId="22" fillId="0" borderId="24" xfId="11" applyFont="1" applyBorder="1"/>
    <xf numFmtId="0" fontId="22" fillId="0" borderId="23" xfId="11" applyFont="1" applyBorder="1"/>
    <xf numFmtId="0" fontId="23" fillId="6" borderId="0" xfId="11" applyFont="1" applyFill="1" applyBorder="1" applyAlignment="1">
      <alignment horizontal="center" vertical="center" wrapText="1"/>
    </xf>
    <xf numFmtId="0" fontId="0" fillId="0" borderId="0" xfId="0" applyFont="1" applyAlignment="1">
      <alignment horizontal="right"/>
    </xf>
    <xf numFmtId="164" fontId="6" fillId="0" borderId="1" xfId="0" applyNumberFormat="1" applyFont="1" applyBorder="1"/>
    <xf numFmtId="9" fontId="1" fillId="0" borderId="0" xfId="3" applyFont="1"/>
    <xf numFmtId="0" fontId="1" fillId="0" borderId="0" xfId="14" applyFont="1" applyAlignment="1">
      <alignment wrapText="1"/>
    </xf>
    <xf numFmtId="0" fontId="37" fillId="0" borderId="0" xfId="0" quotePrefix="1" applyFont="1"/>
    <xf numFmtId="167" fontId="37" fillId="0" borderId="0" xfId="1" applyNumberFormat="1" applyFont="1"/>
    <xf numFmtId="166" fontId="37" fillId="0" borderId="0" xfId="1" applyNumberFormat="1" applyFont="1" applyFill="1"/>
    <xf numFmtId="167" fontId="37" fillId="0" borderId="0" xfId="0" applyNumberFormat="1" applyFont="1"/>
    <xf numFmtId="165" fontId="37" fillId="0" borderId="0" xfId="3" applyNumberFormat="1" applyFont="1"/>
    <xf numFmtId="167" fontId="37" fillId="0" borderId="0" xfId="1" quotePrefix="1" applyNumberFormat="1" applyFont="1" applyAlignment="1">
      <alignment horizontal="right"/>
    </xf>
    <xf numFmtId="166" fontId="37" fillId="0" borderId="0" xfId="1" applyNumberFormat="1" applyFont="1" applyAlignment="1">
      <alignment horizontal="center"/>
    </xf>
    <xf numFmtId="166" fontId="37" fillId="0" borderId="0" xfId="0" applyNumberFormat="1" applyFont="1" applyAlignment="1">
      <alignment horizontal="center"/>
    </xf>
    <xf numFmtId="0" fontId="0" fillId="0" borderId="1" xfId="0" applyBorder="1"/>
    <xf numFmtId="0" fontId="0" fillId="0" borderId="1" xfId="0" applyBorder="1" applyAlignment="1">
      <alignment horizontal="center" vertical="center" wrapText="1"/>
    </xf>
    <xf numFmtId="0" fontId="0" fillId="0" borderId="0" xfId="0" applyAlignment="1">
      <alignment vertical="center"/>
    </xf>
    <xf numFmtId="164" fontId="6" fillId="0" borderId="7" xfId="0" applyNumberFormat="1" applyFont="1" applyBorder="1" applyAlignment="1">
      <alignment horizontal="center"/>
    </xf>
    <xf numFmtId="164" fontId="6" fillId="0" borderId="7" xfId="0" applyNumberFormat="1" applyFont="1" applyBorder="1" applyAlignment="1"/>
    <xf numFmtId="164" fontId="6" fillId="0" borderId="7" xfId="2" applyNumberFormat="1" applyFont="1" applyBorder="1" applyAlignment="1">
      <alignment horizontal="center"/>
    </xf>
    <xf numFmtId="0" fontId="14" fillId="0" borderId="13" xfId="0" applyFont="1" applyBorder="1" applyAlignment="1">
      <alignment horizontal="left" vertical="top" wrapText="1"/>
    </xf>
    <xf numFmtId="0" fontId="14" fillId="0" borderId="12" xfId="0" applyFont="1" applyBorder="1" applyAlignment="1">
      <alignment horizontal="left" vertical="top" wrapText="1"/>
    </xf>
    <xf numFmtId="0" fontId="14" fillId="0" borderId="11" xfId="0" applyFont="1" applyBorder="1" applyAlignment="1">
      <alignment horizontal="left" vertical="top" wrapText="1"/>
    </xf>
    <xf numFmtId="0" fontId="14" fillId="0" borderId="10" xfId="0" applyFont="1" applyBorder="1" applyAlignment="1">
      <alignment horizontal="left" vertical="top" wrapText="1"/>
    </xf>
    <xf numFmtId="0" fontId="14" fillId="0" borderId="0" xfId="0" applyFont="1" applyBorder="1" applyAlignment="1">
      <alignment horizontal="left" vertical="top" wrapText="1"/>
    </xf>
    <xf numFmtId="0" fontId="14" fillId="0" borderId="9" xfId="0" applyFont="1" applyBorder="1" applyAlignment="1">
      <alignment horizontal="left" vertical="top" wrapText="1"/>
    </xf>
    <xf numFmtId="0" fontId="14" fillId="0" borderId="8" xfId="0" applyFont="1" applyBorder="1" applyAlignment="1">
      <alignment horizontal="left" vertical="top" wrapText="1"/>
    </xf>
    <xf numFmtId="0" fontId="14" fillId="0" borderId="7" xfId="0" applyFont="1" applyBorder="1" applyAlignment="1">
      <alignment horizontal="left" vertical="top" wrapText="1"/>
    </xf>
    <xf numFmtId="0" fontId="14" fillId="0" borderId="6" xfId="0" applyFont="1" applyBorder="1" applyAlignment="1">
      <alignment horizontal="left" vertical="top" wrapText="1"/>
    </xf>
    <xf numFmtId="0" fontId="16" fillId="0" borderId="14" xfId="0" applyFont="1" applyBorder="1" applyAlignment="1">
      <alignment horizontal="center" vertical="center" textRotation="90"/>
    </xf>
    <xf numFmtId="0" fontId="16" fillId="0" borderId="15" xfId="0" applyFont="1" applyBorder="1" applyAlignment="1">
      <alignment horizontal="center" vertical="center" textRotation="90"/>
    </xf>
    <xf numFmtId="0" fontId="16" fillId="0" borderId="16" xfId="0" applyFont="1" applyBorder="1" applyAlignment="1">
      <alignment horizontal="center" vertical="center" textRotation="90"/>
    </xf>
    <xf numFmtId="2" fontId="23" fillId="0" borderId="0" xfId="11" applyNumberFormat="1" applyFont="1" applyBorder="1" applyAlignment="1">
      <alignment horizontal="center" vertical="center" wrapText="1"/>
    </xf>
    <xf numFmtId="0" fontId="1" fillId="0" borderId="0" xfId="11" applyAlignment="1">
      <alignment horizontal="center" wrapText="1"/>
    </xf>
    <xf numFmtId="0" fontId="1" fillId="0" borderId="7" xfId="11" applyBorder="1" applyAlignment="1">
      <alignment horizontal="center" wrapText="1"/>
    </xf>
    <xf numFmtId="2" fontId="23" fillId="0" borderId="12" xfId="11" applyNumberFormat="1" applyFont="1" applyBorder="1" applyAlignment="1">
      <alignment horizontal="center" vertical="center" wrapText="1"/>
    </xf>
    <xf numFmtId="0" fontId="23" fillId="0" borderId="0" xfId="11" applyFont="1" applyBorder="1" applyAlignment="1">
      <alignment horizontal="center" vertical="center" wrapText="1"/>
    </xf>
    <xf numFmtId="2" fontId="27" fillId="0" borderId="3" xfId="11" applyNumberFormat="1" applyFont="1" applyBorder="1" applyAlignment="1">
      <alignment horizontal="center" vertical="center" wrapText="1"/>
    </xf>
    <xf numFmtId="2" fontId="0" fillId="0" borderId="1" xfId="12" applyNumberFormat="1" applyFont="1" applyBorder="1" applyAlignment="1">
      <alignment horizontal="center"/>
    </xf>
    <xf numFmtId="0" fontId="22" fillId="0" borderId="0" xfId="11" applyFont="1" applyAlignment="1">
      <alignment horizontal="center" wrapText="1"/>
    </xf>
    <xf numFmtId="0" fontId="23" fillId="0" borderId="12" xfId="11" applyFont="1" applyBorder="1" applyAlignment="1">
      <alignment horizontal="center" vertical="center" wrapText="1"/>
    </xf>
    <xf numFmtId="170" fontId="23" fillId="0" borderId="0" xfId="11" applyNumberFormat="1" applyFont="1" applyBorder="1" applyAlignment="1">
      <alignment horizontal="center" vertical="center" wrapText="1"/>
    </xf>
    <xf numFmtId="0" fontId="25" fillId="0" borderId="7" xfId="11" applyFont="1" applyBorder="1" applyAlignment="1">
      <alignment horizontal="center" vertical="center" wrapText="1"/>
    </xf>
    <xf numFmtId="0" fontId="22" fillId="0" borderId="7" xfId="11" applyFont="1" applyBorder="1" applyAlignment="1">
      <alignment horizontal="center"/>
    </xf>
  </cellXfs>
  <cellStyles count="15">
    <cellStyle name="Comma" xfId="1" builtinId="3"/>
    <cellStyle name="Comma 2" xfId="7"/>
    <cellStyle name="Comma 3" xfId="12"/>
    <cellStyle name="Currency" xfId="2" builtinId="4"/>
    <cellStyle name="Currency 2" xfId="8"/>
    <cellStyle name="Currency 3" xfId="13"/>
    <cellStyle name="Normal" xfId="0" builtinId="0"/>
    <cellStyle name="Normal 2" xfId="5"/>
    <cellStyle name="Normal 3" xfId="10"/>
    <cellStyle name="Normal 4" xfId="11"/>
    <cellStyle name="Normal 5" xfId="14"/>
    <cellStyle name="Normal_98REC_CR" xfId="9"/>
    <cellStyle name="Percent" xfId="3" builtinId="5"/>
    <cellStyle name="Percent 2" xfId="6"/>
    <cellStyle name="Percent_Sheet1"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5"/>
  <sheetViews>
    <sheetView topLeftCell="A19" zoomScale="90" zoomScaleNormal="90" workbookViewId="0">
      <selection activeCell="G27" sqref="G27"/>
    </sheetView>
  </sheetViews>
  <sheetFormatPr defaultRowHeight="12.75" x14ac:dyDescent="0.2"/>
  <cols>
    <col min="1" max="1" width="60.85546875" style="1" bestFit="1" customWidth="1"/>
    <col min="2" max="2" width="18" style="3" bestFit="1" customWidth="1"/>
    <col min="3" max="3" width="9.140625" style="1"/>
    <col min="4" max="4" width="16.5703125" style="3" bestFit="1" customWidth="1"/>
    <col min="5" max="5" width="9.140625" style="1"/>
    <col min="6" max="6" width="16.7109375" style="2" customWidth="1"/>
    <col min="7" max="7" width="12.85546875" style="1" bestFit="1" customWidth="1"/>
    <col min="8" max="8" width="24.5703125" style="1" customWidth="1"/>
    <col min="9" max="16384" width="9.140625" style="1"/>
  </cols>
  <sheetData>
    <row r="1" spans="1:9" customFormat="1" ht="15.75" x14ac:dyDescent="0.25">
      <c r="A1" s="53" t="s">
        <v>42</v>
      </c>
      <c r="B1" s="55"/>
      <c r="C1" s="53"/>
      <c r="D1" s="55"/>
      <c r="E1" s="53"/>
      <c r="F1" s="54"/>
      <c r="G1" s="53"/>
    </row>
    <row r="2" spans="1:9" customFormat="1" ht="15" x14ac:dyDescent="0.2">
      <c r="A2" s="52" t="s">
        <v>18</v>
      </c>
      <c r="B2" s="51"/>
      <c r="C2" s="48"/>
      <c r="D2" s="50"/>
      <c r="E2" s="48"/>
      <c r="F2" s="49"/>
      <c r="G2" s="48"/>
    </row>
    <row r="3" spans="1:9" customFormat="1" ht="15" x14ac:dyDescent="0.2">
      <c r="A3" s="52" t="s">
        <v>17</v>
      </c>
      <c r="B3" s="51"/>
      <c r="C3" s="48"/>
      <c r="D3" s="50"/>
      <c r="E3" s="48"/>
      <c r="F3" s="49"/>
      <c r="G3" s="48"/>
    </row>
    <row r="4" spans="1:9" customFormat="1" ht="15" x14ac:dyDescent="0.2">
      <c r="A4" s="117" t="s">
        <v>43</v>
      </c>
      <c r="B4" s="45"/>
      <c r="C4" s="42"/>
      <c r="D4" s="44"/>
      <c r="E4" s="42"/>
      <c r="F4" s="43"/>
      <c r="G4" s="42"/>
    </row>
    <row r="5" spans="1:9" customFormat="1" x14ac:dyDescent="0.2">
      <c r="A5" s="46"/>
      <c r="B5" s="45"/>
      <c r="C5" s="42"/>
      <c r="D5" s="44"/>
      <c r="E5" s="42"/>
      <c r="F5" s="43"/>
      <c r="G5" s="42"/>
    </row>
    <row r="6" spans="1:9" customFormat="1" x14ac:dyDescent="0.2">
      <c r="A6" s="46"/>
      <c r="B6" s="45"/>
      <c r="C6" s="42"/>
      <c r="D6" s="44"/>
      <c r="E6" s="42"/>
      <c r="F6" s="43"/>
      <c r="G6" s="42"/>
    </row>
    <row r="7" spans="1:9" ht="13.5" thickBot="1" x14ac:dyDescent="0.25">
      <c r="G7" s="8"/>
      <c r="H7" s="8"/>
    </row>
    <row r="8" spans="1:9" x14ac:dyDescent="0.2">
      <c r="A8" s="218" t="s">
        <v>16</v>
      </c>
      <c r="B8" s="219"/>
      <c r="C8" s="219"/>
      <c r="D8" s="219"/>
      <c r="E8" s="219"/>
      <c r="F8" s="220"/>
      <c r="G8" s="125"/>
      <c r="H8" s="125"/>
      <c r="I8" s="8"/>
    </row>
    <row r="9" spans="1:9" x14ac:dyDescent="0.2">
      <c r="A9" s="221"/>
      <c r="B9" s="222"/>
      <c r="C9" s="222"/>
      <c r="D9" s="222"/>
      <c r="E9" s="222"/>
      <c r="F9" s="223"/>
      <c r="G9" s="125"/>
      <c r="H9" s="125"/>
    </row>
    <row r="10" spans="1:9" x14ac:dyDescent="0.2">
      <c r="A10" s="221"/>
      <c r="B10" s="222"/>
      <c r="C10" s="222"/>
      <c r="D10" s="222"/>
      <c r="E10" s="222"/>
      <c r="F10" s="223"/>
      <c r="G10" s="125"/>
      <c r="H10" s="125"/>
    </row>
    <row r="11" spans="1:9" x14ac:dyDescent="0.2">
      <c r="A11" s="221"/>
      <c r="B11" s="222"/>
      <c r="C11" s="222"/>
      <c r="D11" s="222"/>
      <c r="E11" s="222"/>
      <c r="F11" s="223"/>
      <c r="G11" s="125"/>
      <c r="H11" s="125"/>
    </row>
    <row r="12" spans="1:9" x14ac:dyDescent="0.2">
      <c r="A12" s="221"/>
      <c r="B12" s="222"/>
      <c r="C12" s="222"/>
      <c r="D12" s="222"/>
      <c r="E12" s="222"/>
      <c r="F12" s="223"/>
      <c r="G12" s="125"/>
      <c r="H12" s="125"/>
    </row>
    <row r="13" spans="1:9" ht="13.5" thickBot="1" x14ac:dyDescent="0.25">
      <c r="A13" s="224"/>
      <c r="B13" s="225"/>
      <c r="C13" s="225"/>
      <c r="D13" s="225"/>
      <c r="E13" s="225"/>
      <c r="F13" s="226"/>
      <c r="G13" s="125"/>
      <c r="H13" s="125"/>
    </row>
    <row r="14" spans="1:9" customFormat="1" x14ac:dyDescent="0.2">
      <c r="A14" s="46"/>
      <c r="B14" s="45"/>
      <c r="C14" s="42"/>
      <c r="D14" s="44"/>
      <c r="E14" s="42"/>
      <c r="F14" s="43"/>
      <c r="G14" s="42"/>
    </row>
    <row r="15" spans="1:9" ht="15.75" x14ac:dyDescent="0.25">
      <c r="A15" s="29" t="s">
        <v>15</v>
      </c>
      <c r="B15" s="28"/>
      <c r="C15" s="27"/>
      <c r="D15" s="28"/>
      <c r="E15" s="27"/>
      <c r="F15" s="26"/>
      <c r="H15" s="41"/>
    </row>
    <row r="16" spans="1:9" x14ac:dyDescent="0.2">
      <c r="H16" s="20"/>
    </row>
    <row r="17" spans="1:8" ht="13.5" thickBot="1" x14ac:dyDescent="0.25">
      <c r="B17" s="215" t="s">
        <v>14</v>
      </c>
      <c r="D17" s="216" t="str">
        <f>TEXT(D22/$B$22,"00%")&amp;" Passed Back"</f>
        <v>61% Passed Back</v>
      </c>
      <c r="F17" s="217" t="str">
        <f>TEXT(F22/$B$22,"00%")&amp;" Retained"</f>
        <v>39% Retained</v>
      </c>
      <c r="H17" s="37"/>
    </row>
    <row r="18" spans="1:8" x14ac:dyDescent="0.2">
      <c r="A18" s="1" t="s">
        <v>13</v>
      </c>
      <c r="B18" s="36">
        <v>292961.99994565477</v>
      </c>
      <c r="D18" s="3">
        <f>+B18-F18</f>
        <v>179164.67462859818</v>
      </c>
      <c r="F18" s="3">
        <v>113797.32531705659</v>
      </c>
      <c r="H18" s="34"/>
    </row>
    <row r="19" spans="1:8" x14ac:dyDescent="0.2">
      <c r="B19" s="36"/>
      <c r="F19" s="3"/>
      <c r="H19" s="34"/>
    </row>
    <row r="20" spans="1:8" x14ac:dyDescent="0.2">
      <c r="A20" s="1" t="s">
        <v>12</v>
      </c>
      <c r="B20" s="36">
        <v>56928.998462984375</v>
      </c>
      <c r="D20" s="3">
        <f t="shared" ref="D20" si="0">+B20-F20</f>
        <v>34851.700737469997</v>
      </c>
      <c r="F20" s="3">
        <v>22077.297725514378</v>
      </c>
      <c r="G20" s="5"/>
      <c r="H20" s="34"/>
    </row>
    <row r="21" spans="1:8" x14ac:dyDescent="0.2">
      <c r="F21" s="35"/>
      <c r="H21" s="34"/>
    </row>
    <row r="22" spans="1:8" ht="13.5" thickBot="1" x14ac:dyDescent="0.25">
      <c r="A22" s="33" t="s">
        <v>11</v>
      </c>
      <c r="B22" s="11">
        <f>SUM(B18:B21)</f>
        <v>349890.99840863916</v>
      </c>
      <c r="D22" s="11">
        <f>SUM(D18:D21)</f>
        <v>214016.37536606818</v>
      </c>
      <c r="E22" s="32"/>
      <c r="F22" s="11">
        <f>SUM(F18:F21)</f>
        <v>135874.62304257095</v>
      </c>
      <c r="H22" s="6"/>
    </row>
    <row r="23" spans="1:8" x14ac:dyDescent="0.2">
      <c r="H23" s="20"/>
    </row>
    <row r="24" spans="1:8" x14ac:dyDescent="0.2">
      <c r="A24" s="24"/>
      <c r="B24" s="31"/>
      <c r="C24" s="24"/>
      <c r="D24" s="31"/>
      <c r="E24" s="24"/>
      <c r="F24" s="30"/>
      <c r="H24" s="20"/>
    </row>
    <row r="25" spans="1:8" ht="15.75" x14ac:dyDescent="0.25">
      <c r="A25" s="29" t="s">
        <v>10</v>
      </c>
      <c r="B25" s="28"/>
      <c r="C25" s="27"/>
      <c r="D25" s="28"/>
      <c r="E25" s="27"/>
      <c r="F25" s="26"/>
      <c r="H25" s="20"/>
    </row>
    <row r="26" spans="1:8" x14ac:dyDescent="0.2">
      <c r="H26" s="20"/>
    </row>
    <row r="27" spans="1:8" x14ac:dyDescent="0.2">
      <c r="A27" s="25" t="s">
        <v>9</v>
      </c>
      <c r="B27" s="23" t="s">
        <v>8</v>
      </c>
      <c r="C27" s="24"/>
      <c r="D27" s="23" t="s">
        <v>7</v>
      </c>
      <c r="E27" s="24"/>
      <c r="F27" s="23" t="s">
        <v>6</v>
      </c>
      <c r="H27" s="20"/>
    </row>
    <row r="28" spans="1:8" x14ac:dyDescent="0.2">
      <c r="A28" s="10"/>
      <c r="B28" s="22"/>
      <c r="C28" s="8"/>
      <c r="D28" s="22"/>
      <c r="E28" s="8"/>
      <c r="F28" s="22"/>
      <c r="H28" s="20"/>
    </row>
    <row r="29" spans="1:8" x14ac:dyDescent="0.2">
      <c r="A29" s="83" t="s">
        <v>128</v>
      </c>
      <c r="B29" s="14"/>
      <c r="D29" s="15"/>
      <c r="E29" s="14"/>
      <c r="F29" s="19"/>
      <c r="H29" s="12"/>
    </row>
    <row r="30" spans="1:8" x14ac:dyDescent="0.2">
      <c r="A30" s="17" t="s">
        <v>135</v>
      </c>
      <c r="B30" s="22"/>
      <c r="C30" s="8"/>
      <c r="D30" s="22"/>
      <c r="E30" s="8"/>
      <c r="F30" s="19">
        <v>20975</v>
      </c>
      <c r="H30" s="20"/>
    </row>
    <row r="31" spans="1:8" x14ac:dyDescent="0.2">
      <c r="A31" s="17" t="s">
        <v>134</v>
      </c>
      <c r="B31" s="16">
        <f>+'Admin Time'!N16*'Admin Time'!P18</f>
        <v>297.471</v>
      </c>
      <c r="C31" s="21"/>
      <c r="D31" s="15">
        <v>50</v>
      </c>
      <c r="E31" s="120"/>
      <c r="F31" s="19">
        <f>+'Admin Time'!O18</f>
        <v>14882.642999999998</v>
      </c>
      <c r="H31" s="12"/>
    </row>
    <row r="32" spans="1:8" x14ac:dyDescent="0.2">
      <c r="A32" s="17"/>
      <c r="B32" s="16"/>
      <c r="D32" s="15"/>
      <c r="E32" s="14"/>
      <c r="F32" s="13"/>
      <c r="H32" s="12"/>
    </row>
    <row r="33" spans="1:8" x14ac:dyDescent="0.2">
      <c r="A33" s="83" t="s">
        <v>129</v>
      </c>
      <c r="B33" s="14"/>
      <c r="D33" s="15"/>
      <c r="E33" s="14"/>
      <c r="F33" s="19"/>
      <c r="H33" s="12"/>
    </row>
    <row r="34" spans="1:8" x14ac:dyDescent="0.2">
      <c r="A34" s="17" t="s">
        <v>37</v>
      </c>
      <c r="B34" s="16"/>
      <c r="D34" s="15"/>
      <c r="E34" s="14"/>
      <c r="F34" s="19">
        <v>500</v>
      </c>
      <c r="H34" s="18"/>
    </row>
    <row r="35" spans="1:8" x14ac:dyDescent="0.2">
      <c r="A35" s="17" t="s">
        <v>5</v>
      </c>
      <c r="B35" s="16"/>
      <c r="D35" s="15"/>
      <c r="E35" s="14"/>
      <c r="F35" s="13">
        <v>9357.0300000000007</v>
      </c>
      <c r="G35" s="119"/>
    </row>
    <row r="36" spans="1:8" x14ac:dyDescent="0.2">
      <c r="A36" s="17" t="s">
        <v>68</v>
      </c>
      <c r="B36" s="16"/>
      <c r="D36" s="15"/>
      <c r="E36" s="14"/>
      <c r="F36" s="13">
        <v>26743</v>
      </c>
      <c r="H36" s="12"/>
    </row>
    <row r="37" spans="1:8" x14ac:dyDescent="0.2">
      <c r="A37" s="17" t="s">
        <v>76</v>
      </c>
      <c r="B37" s="16"/>
      <c r="D37" s="15"/>
      <c r="E37" s="14"/>
      <c r="F37" s="19">
        <v>4500</v>
      </c>
      <c r="H37" s="12"/>
    </row>
    <row r="38" spans="1:8" x14ac:dyDescent="0.2">
      <c r="A38" s="17"/>
      <c r="B38" s="16"/>
      <c r="D38" s="15"/>
      <c r="E38" s="14"/>
      <c r="F38" s="19"/>
      <c r="G38" s="119"/>
      <c r="H38" s="18"/>
    </row>
    <row r="39" spans="1:8" x14ac:dyDescent="0.2">
      <c r="A39" s="83" t="s">
        <v>130</v>
      </c>
      <c r="B39" s="14"/>
      <c r="D39" s="15"/>
      <c r="E39" s="14"/>
      <c r="F39" s="1"/>
      <c r="H39" s="12"/>
    </row>
    <row r="40" spans="1:8" x14ac:dyDescent="0.2">
      <c r="A40" s="17" t="s">
        <v>36</v>
      </c>
      <c r="B40" s="16"/>
      <c r="D40" s="15"/>
      <c r="E40" s="14"/>
      <c r="F40" s="19">
        <v>19671.830000000002</v>
      </c>
      <c r="H40" s="12"/>
    </row>
    <row r="41" spans="1:8" x14ac:dyDescent="0.2">
      <c r="A41" s="83"/>
      <c r="B41" s="16"/>
      <c r="D41" s="15"/>
      <c r="E41" s="14"/>
      <c r="F41" s="13"/>
      <c r="H41" s="12"/>
    </row>
    <row r="42" spans="1:8" ht="13.5" thickBot="1" x14ac:dyDescent="0.25">
      <c r="A42" s="10" t="s">
        <v>4</v>
      </c>
      <c r="B42" s="9"/>
      <c r="C42" s="8"/>
      <c r="D42" s="9"/>
      <c r="E42" s="8"/>
      <c r="F42" s="11">
        <f>SUM(F29:F41)</f>
        <v>96629.502999999997</v>
      </c>
      <c r="H42" s="6"/>
    </row>
    <row r="43" spans="1:8" x14ac:dyDescent="0.2">
      <c r="A43" s="10"/>
      <c r="B43" s="9"/>
      <c r="C43" s="8"/>
      <c r="D43" s="9"/>
      <c r="E43" s="8"/>
      <c r="F43" s="7"/>
      <c r="H43" s="6"/>
    </row>
    <row r="44" spans="1:8" x14ac:dyDescent="0.2">
      <c r="A44" s="10" t="s">
        <v>3</v>
      </c>
      <c r="B44" s="9"/>
      <c r="C44" s="8"/>
      <c r="D44" s="9"/>
      <c r="E44" s="8"/>
      <c r="F44" s="7">
        <f>F42*0.05</f>
        <v>4831.4751500000002</v>
      </c>
      <c r="H44" s="6"/>
    </row>
    <row r="45" spans="1:8" x14ac:dyDescent="0.2">
      <c r="A45" s="10"/>
      <c r="B45" s="9"/>
      <c r="C45" s="8"/>
      <c r="D45" s="9"/>
      <c r="E45" s="8"/>
      <c r="F45" s="7"/>
      <c r="H45" s="6"/>
    </row>
    <row r="46" spans="1:8" x14ac:dyDescent="0.2">
      <c r="A46" s="10" t="s">
        <v>1</v>
      </c>
      <c r="B46" s="9"/>
      <c r="C46" s="8"/>
      <c r="D46" s="9"/>
      <c r="E46" s="8"/>
      <c r="F46" s="121">
        <f>+'Impact on Recycling'!J37-'Impact on Recycling'!J36</f>
        <v>7.3209928315484674E-3</v>
      </c>
      <c r="G46" s="121"/>
      <c r="H46" s="6"/>
    </row>
    <row r="48" spans="1:8" ht="13.5" thickBot="1" x14ac:dyDescent="0.25">
      <c r="A48" s="10" t="s">
        <v>11</v>
      </c>
      <c r="B48" s="9"/>
      <c r="C48" s="8"/>
      <c r="D48" s="9"/>
      <c r="E48" s="8"/>
      <c r="F48" s="11">
        <f>IF((F42+F44)&lt;F22,(F42+F44),F22)</f>
        <v>101460.97815</v>
      </c>
      <c r="G48" s="176">
        <f>+F48/B22</f>
        <v>0.28997881800749642</v>
      </c>
    </row>
    <row r="49" spans="1:6" x14ac:dyDescent="0.2">
      <c r="A49" s="10"/>
      <c r="B49" s="9"/>
      <c r="C49" s="8"/>
      <c r="D49" s="9"/>
      <c r="E49" s="8"/>
      <c r="F49" s="7"/>
    </row>
    <row r="50" spans="1:6" s="126" customFormat="1" x14ac:dyDescent="0.2">
      <c r="A50" s="126" t="s">
        <v>0</v>
      </c>
      <c r="B50" s="127"/>
      <c r="D50" s="127"/>
      <c r="F50" s="128">
        <f>+F48-F22</f>
        <v>-34413.644892570956</v>
      </c>
    </row>
    <row r="51" spans="1:6" x14ac:dyDescent="0.2">
      <c r="F51" s="4"/>
    </row>
    <row r="52" spans="1:6" x14ac:dyDescent="0.2">
      <c r="C52" s="3"/>
      <c r="D52" s="1"/>
      <c r="E52" s="2"/>
      <c r="F52" s="200" t="s">
        <v>133</v>
      </c>
    </row>
    <row r="53" spans="1:6" x14ac:dyDescent="0.2">
      <c r="C53" s="200" t="s">
        <v>131</v>
      </c>
      <c r="D53" s="100">
        <v>36885</v>
      </c>
      <c r="E53" s="176">
        <f>D53/SUM($D$53:$D$54)</f>
        <v>0.82360165233895277</v>
      </c>
      <c r="F53" s="3">
        <f>E53*$F$50</f>
        <v>-28343.134796527404</v>
      </c>
    </row>
    <row r="54" spans="1:6" x14ac:dyDescent="0.2">
      <c r="C54" s="200" t="s">
        <v>132</v>
      </c>
      <c r="D54" s="100">
        <v>7900</v>
      </c>
      <c r="E54" s="176">
        <f>D54/SUM($D$53:$D$54)</f>
        <v>0.17639834766104723</v>
      </c>
      <c r="F54" s="3">
        <f>E54*$F$50</f>
        <v>-6070.5100960435539</v>
      </c>
    </row>
    <row r="55" spans="1:6" x14ac:dyDescent="0.2">
      <c r="C55" s="3"/>
      <c r="D55" s="1"/>
      <c r="E55" s="2"/>
      <c r="F55" s="201">
        <f>SUM(F53:F54)</f>
        <v>-34413.644892570956</v>
      </c>
    </row>
  </sheetData>
  <mergeCells count="1">
    <mergeCell ref="A8:F13"/>
  </mergeCells>
  <pageMargins left="0.7" right="0.7" top="0.75" bottom="0.75" header="0.3" footer="0.3"/>
  <pageSetup scale="7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2"/>
  <sheetViews>
    <sheetView topLeftCell="A11" zoomScale="90" zoomScaleNormal="90" workbookViewId="0">
      <selection activeCell="A35" sqref="A35"/>
    </sheetView>
  </sheetViews>
  <sheetFormatPr defaultRowHeight="12.75" x14ac:dyDescent="0.2"/>
  <cols>
    <col min="1" max="1" width="60.85546875" style="1" bestFit="1" customWidth="1"/>
    <col min="2" max="2" width="18" style="3" bestFit="1" customWidth="1"/>
    <col min="3" max="3" width="9.140625" style="1"/>
    <col min="4" max="4" width="16.5703125" style="3" bestFit="1" customWidth="1"/>
    <col min="5" max="5" width="9.140625" style="1"/>
    <col min="6" max="6" width="16.7109375" style="2" customWidth="1"/>
    <col min="7" max="7" width="10.28515625" style="1" bestFit="1" customWidth="1"/>
    <col min="8" max="8" width="24.5703125" style="1" customWidth="1"/>
    <col min="9" max="16384" width="9.140625" style="1"/>
  </cols>
  <sheetData>
    <row r="1" spans="1:9" customFormat="1" ht="15.75" x14ac:dyDescent="0.25">
      <c r="A1" s="53" t="s">
        <v>42</v>
      </c>
      <c r="B1" s="55"/>
      <c r="C1" s="53"/>
      <c r="D1" s="55"/>
      <c r="E1" s="53"/>
      <c r="F1" s="54"/>
      <c r="G1" s="53"/>
    </row>
    <row r="2" spans="1:9" customFormat="1" ht="15" x14ac:dyDescent="0.2">
      <c r="A2" s="52" t="s">
        <v>18</v>
      </c>
      <c r="B2" s="51"/>
      <c r="C2" s="48"/>
      <c r="D2" s="50"/>
      <c r="E2" s="48"/>
      <c r="F2" s="49"/>
      <c r="G2" s="48"/>
    </row>
    <row r="3" spans="1:9" customFormat="1" ht="15" x14ac:dyDescent="0.2">
      <c r="A3" s="52" t="s">
        <v>17</v>
      </c>
      <c r="B3" s="51"/>
      <c r="C3" s="48"/>
      <c r="D3" s="50"/>
      <c r="E3" s="48"/>
      <c r="F3" s="49"/>
      <c r="G3" s="48"/>
    </row>
    <row r="4" spans="1:9" customFormat="1" ht="15" x14ac:dyDescent="0.2">
      <c r="A4" s="117" t="s">
        <v>43</v>
      </c>
      <c r="B4" s="45"/>
      <c r="C4" s="42"/>
      <c r="D4" s="44"/>
      <c r="E4" s="42"/>
      <c r="F4" s="43"/>
      <c r="G4" s="42"/>
    </row>
    <row r="5" spans="1:9" customFormat="1" x14ac:dyDescent="0.2">
      <c r="A5" s="46"/>
      <c r="B5" s="45"/>
      <c r="C5" s="42"/>
      <c r="D5" s="44"/>
      <c r="E5" s="42"/>
      <c r="F5" s="43"/>
      <c r="G5" s="42"/>
    </row>
    <row r="6" spans="1:9" customFormat="1" x14ac:dyDescent="0.2">
      <c r="A6" s="46"/>
      <c r="B6" s="45"/>
      <c r="C6" s="42"/>
      <c r="D6" s="44"/>
      <c r="E6" s="42"/>
      <c r="F6" s="43"/>
      <c r="G6" s="42"/>
    </row>
    <row r="7" spans="1:9" ht="13.5" thickBot="1" x14ac:dyDescent="0.25">
      <c r="G7" s="8"/>
      <c r="H7" s="8"/>
    </row>
    <row r="8" spans="1:9" x14ac:dyDescent="0.2">
      <c r="A8" s="218" t="s">
        <v>16</v>
      </c>
      <c r="B8" s="219"/>
      <c r="C8" s="219"/>
      <c r="D8" s="219"/>
      <c r="E8" s="219"/>
      <c r="F8" s="220"/>
      <c r="G8" s="125"/>
      <c r="H8" s="125"/>
      <c r="I8" s="8"/>
    </row>
    <row r="9" spans="1:9" x14ac:dyDescent="0.2">
      <c r="A9" s="221"/>
      <c r="B9" s="222"/>
      <c r="C9" s="222"/>
      <c r="D9" s="222"/>
      <c r="E9" s="222"/>
      <c r="F9" s="223"/>
      <c r="G9" s="125"/>
      <c r="H9" s="125"/>
    </row>
    <row r="10" spans="1:9" x14ac:dyDescent="0.2">
      <c r="A10" s="221"/>
      <c r="B10" s="222"/>
      <c r="C10" s="222"/>
      <c r="D10" s="222"/>
      <c r="E10" s="222"/>
      <c r="F10" s="223"/>
      <c r="G10" s="125"/>
      <c r="H10" s="125"/>
    </row>
    <row r="11" spans="1:9" x14ac:dyDescent="0.2">
      <c r="A11" s="221"/>
      <c r="B11" s="222"/>
      <c r="C11" s="222"/>
      <c r="D11" s="222"/>
      <c r="E11" s="222"/>
      <c r="F11" s="223"/>
      <c r="G11" s="125"/>
      <c r="H11" s="125"/>
    </row>
    <row r="12" spans="1:9" x14ac:dyDescent="0.2">
      <c r="A12" s="221"/>
      <c r="B12" s="222"/>
      <c r="C12" s="222"/>
      <c r="D12" s="222"/>
      <c r="E12" s="222"/>
      <c r="F12" s="223"/>
      <c r="G12" s="125"/>
      <c r="H12" s="125"/>
    </row>
    <row r="13" spans="1:9" ht="13.5" thickBot="1" x14ac:dyDescent="0.25">
      <c r="A13" s="224"/>
      <c r="B13" s="225"/>
      <c r="C13" s="225"/>
      <c r="D13" s="225"/>
      <c r="E13" s="225"/>
      <c r="F13" s="226"/>
      <c r="G13" s="125"/>
      <c r="H13" s="125"/>
    </row>
    <row r="14" spans="1:9" customFormat="1" x14ac:dyDescent="0.2">
      <c r="A14" s="46"/>
      <c r="B14" s="45"/>
      <c r="C14" s="42"/>
      <c r="D14" s="44"/>
      <c r="E14" s="42"/>
      <c r="F14" s="43"/>
      <c r="G14" s="42"/>
    </row>
    <row r="15" spans="1:9" ht="15.75" x14ac:dyDescent="0.25">
      <c r="A15" s="29" t="s">
        <v>15</v>
      </c>
      <c r="B15" s="28"/>
      <c r="C15" s="27"/>
      <c r="D15" s="28"/>
      <c r="E15" s="27"/>
      <c r="F15" s="26"/>
      <c r="H15" s="41"/>
    </row>
    <row r="16" spans="1:9" x14ac:dyDescent="0.2">
      <c r="H16" s="20"/>
    </row>
    <row r="17" spans="1:8" x14ac:dyDescent="0.2">
      <c r="B17" s="40" t="s">
        <v>14</v>
      </c>
      <c r="D17" s="39" t="str">
        <f>TEXT(D22/$B$22,"00%")&amp;" Passed Back"</f>
        <v>61% Passed Back</v>
      </c>
      <c r="F17" s="38" t="str">
        <f>TEXT(F22/$B$22,"00%")&amp;" Retained"</f>
        <v>39% Retained</v>
      </c>
      <c r="H17" s="37"/>
    </row>
    <row r="18" spans="1:8" x14ac:dyDescent="0.2">
      <c r="A18" s="1" t="s">
        <v>13</v>
      </c>
      <c r="B18" s="36">
        <v>292961.99994565477</v>
      </c>
      <c r="D18" s="3">
        <f>+B18-F18</f>
        <v>179164.67462859818</v>
      </c>
      <c r="F18" s="3">
        <v>113797.32531705659</v>
      </c>
      <c r="H18" s="34"/>
    </row>
    <row r="19" spans="1:8" x14ac:dyDescent="0.2">
      <c r="B19" s="36"/>
      <c r="F19" s="3"/>
      <c r="H19" s="34"/>
    </row>
    <row r="20" spans="1:8" x14ac:dyDescent="0.2">
      <c r="A20" s="1" t="s">
        <v>12</v>
      </c>
      <c r="B20" s="36">
        <v>56928.998462984375</v>
      </c>
      <c r="D20" s="3">
        <f t="shared" ref="D20" si="0">+B20-F20</f>
        <v>34851.700737469997</v>
      </c>
      <c r="F20" s="3">
        <v>22077.297725514378</v>
      </c>
      <c r="G20" s="5"/>
      <c r="H20" s="34"/>
    </row>
    <row r="21" spans="1:8" x14ac:dyDescent="0.2">
      <c r="F21" s="35"/>
      <c r="H21" s="34"/>
    </row>
    <row r="22" spans="1:8" ht="13.5" thickBot="1" x14ac:dyDescent="0.25">
      <c r="A22" s="33" t="s">
        <v>11</v>
      </c>
      <c r="B22" s="11">
        <f>SUM(B18:B21)</f>
        <v>349890.99840863916</v>
      </c>
      <c r="D22" s="11">
        <f>SUM(D18:D21)</f>
        <v>214016.37536606818</v>
      </c>
      <c r="E22" s="32"/>
      <c r="F22" s="11">
        <f>SUM(F18:F21)</f>
        <v>135874.62304257095</v>
      </c>
      <c r="H22" s="6"/>
    </row>
    <row r="23" spans="1:8" x14ac:dyDescent="0.2">
      <c r="H23" s="20"/>
    </row>
    <row r="24" spans="1:8" x14ac:dyDescent="0.2">
      <c r="A24" s="24"/>
      <c r="B24" s="31"/>
      <c r="C24" s="24"/>
      <c r="D24" s="31"/>
      <c r="E24" s="24"/>
      <c r="F24" s="30"/>
      <c r="H24" s="20"/>
    </row>
    <row r="25" spans="1:8" ht="15.75" x14ac:dyDescent="0.25">
      <c r="A25" s="29" t="s">
        <v>10</v>
      </c>
      <c r="B25" s="28"/>
      <c r="C25" s="27"/>
      <c r="D25" s="28"/>
      <c r="E25" s="27"/>
      <c r="F25" s="26"/>
      <c r="H25" s="20"/>
    </row>
    <row r="26" spans="1:8" x14ac:dyDescent="0.2">
      <c r="H26" s="20"/>
    </row>
    <row r="27" spans="1:8" x14ac:dyDescent="0.2">
      <c r="A27" s="25" t="s">
        <v>9</v>
      </c>
      <c r="B27" s="23" t="s">
        <v>8</v>
      </c>
      <c r="C27" s="24"/>
      <c r="D27" s="23" t="s">
        <v>7</v>
      </c>
      <c r="E27" s="24"/>
      <c r="F27" s="23" t="s">
        <v>6</v>
      </c>
      <c r="H27" s="20"/>
    </row>
    <row r="28" spans="1:8" x14ac:dyDescent="0.2">
      <c r="A28" s="10"/>
      <c r="B28" s="22"/>
      <c r="C28" s="8"/>
      <c r="D28" s="22"/>
      <c r="E28" s="8"/>
      <c r="F28" s="22"/>
      <c r="H28" s="20"/>
    </row>
    <row r="29" spans="1:8" x14ac:dyDescent="0.2">
      <c r="A29" s="10" t="s">
        <v>107</v>
      </c>
      <c r="B29" s="22"/>
      <c r="C29" s="8"/>
      <c r="D29" s="22"/>
      <c r="E29" s="8"/>
      <c r="F29" s="22"/>
      <c r="H29" s="20"/>
    </row>
    <row r="30" spans="1:8" x14ac:dyDescent="0.2">
      <c r="A30" s="17" t="s">
        <v>38</v>
      </c>
      <c r="B30" s="16">
        <f>SUM('Admin Time'!N3:N5)/2</f>
        <v>80.5</v>
      </c>
      <c r="C30" s="21"/>
      <c r="D30" s="15">
        <v>50</v>
      </c>
      <c r="E30" s="120"/>
      <c r="F30" s="19">
        <f>+B30*D30</f>
        <v>4025</v>
      </c>
      <c r="H30" s="12"/>
    </row>
    <row r="31" spans="1:8" x14ac:dyDescent="0.2">
      <c r="A31" s="17" t="s">
        <v>37</v>
      </c>
      <c r="B31" s="16"/>
      <c r="D31" s="15"/>
      <c r="E31" s="14"/>
      <c r="F31" s="19">
        <v>500</v>
      </c>
      <c r="H31" s="18"/>
    </row>
    <row r="32" spans="1:8" x14ac:dyDescent="0.2">
      <c r="A32" s="17" t="s">
        <v>5</v>
      </c>
      <c r="B32" s="16"/>
      <c r="D32" s="15"/>
      <c r="E32" s="14"/>
      <c r="F32" s="13">
        <v>9357.0300000000007</v>
      </c>
      <c r="G32" s="119"/>
    </row>
    <row r="33" spans="1:8" x14ac:dyDescent="0.2">
      <c r="A33" s="10"/>
      <c r="B33" s="22"/>
      <c r="C33" s="8"/>
      <c r="D33" s="22"/>
      <c r="E33" s="8"/>
      <c r="F33" s="22"/>
      <c r="H33" s="20"/>
    </row>
    <row r="34" spans="1:8" x14ac:dyDescent="0.2">
      <c r="A34" s="10" t="s">
        <v>138</v>
      </c>
      <c r="B34" s="22"/>
      <c r="C34" s="8"/>
      <c r="D34" s="22"/>
      <c r="E34" s="8"/>
      <c r="F34" s="22"/>
      <c r="H34" s="20"/>
    </row>
    <row r="35" spans="1:8" x14ac:dyDescent="0.2">
      <c r="A35" s="17" t="s">
        <v>68</v>
      </c>
      <c r="B35" s="16"/>
      <c r="D35" s="15"/>
      <c r="E35" s="14"/>
      <c r="F35" s="13">
        <v>26743</v>
      </c>
      <c r="H35" s="12"/>
    </row>
    <row r="36" spans="1:8" x14ac:dyDescent="0.2">
      <c r="A36" s="17" t="s">
        <v>38</v>
      </c>
      <c r="B36" s="16">
        <f>'Admin Time'!N16/2-B30</f>
        <v>415.28500000000003</v>
      </c>
      <c r="C36" s="21"/>
      <c r="D36" s="15">
        <v>50</v>
      </c>
      <c r="E36" s="120"/>
      <c r="F36" s="19">
        <f>+B36*D36</f>
        <v>20764.25</v>
      </c>
      <c r="H36" s="12"/>
    </row>
    <row r="37" spans="1:8" x14ac:dyDescent="0.2">
      <c r="A37" s="17" t="s">
        <v>75</v>
      </c>
      <c r="B37" s="22"/>
      <c r="C37" s="8"/>
      <c r="D37" s="22"/>
      <c r="E37" s="8"/>
      <c r="F37" s="19">
        <v>18375</v>
      </c>
      <c r="H37" s="20"/>
    </row>
    <row r="38" spans="1:8" x14ac:dyDescent="0.2">
      <c r="A38" s="17" t="s">
        <v>36</v>
      </c>
      <c r="B38" s="16"/>
      <c r="D38" s="15"/>
      <c r="E38" s="14"/>
      <c r="F38" s="19">
        <v>19671.830000000002</v>
      </c>
      <c r="H38" s="12"/>
    </row>
    <row r="39" spans="1:8" x14ac:dyDescent="0.2">
      <c r="A39" s="17" t="s">
        <v>76</v>
      </c>
      <c r="B39" s="16"/>
      <c r="D39" s="15"/>
      <c r="E39" s="14"/>
      <c r="F39" s="19">
        <v>4500</v>
      </c>
      <c r="H39" s="12"/>
    </row>
    <row r="40" spans="1:8" x14ac:dyDescent="0.2">
      <c r="A40" s="83"/>
      <c r="B40" s="16"/>
      <c r="D40" s="15"/>
      <c r="E40" s="14"/>
      <c r="F40" s="13"/>
      <c r="H40" s="12"/>
    </row>
    <row r="41" spans="1:8" ht="13.5" thickBot="1" x14ac:dyDescent="0.25">
      <c r="A41" s="10" t="s">
        <v>4</v>
      </c>
      <c r="B41" s="9"/>
      <c r="C41" s="8"/>
      <c r="D41" s="9"/>
      <c r="E41" s="8"/>
      <c r="F41" s="11">
        <f>SUM(F28:F39)</f>
        <v>103936.11</v>
      </c>
      <c r="H41" s="6"/>
    </row>
    <row r="42" spans="1:8" x14ac:dyDescent="0.2">
      <c r="A42" s="10"/>
      <c r="B42" s="9"/>
      <c r="C42" s="8"/>
      <c r="D42" s="9"/>
      <c r="E42" s="8"/>
      <c r="F42" s="7"/>
      <c r="H42" s="6"/>
    </row>
    <row r="43" spans="1:8" x14ac:dyDescent="0.2">
      <c r="A43" s="10" t="s">
        <v>3</v>
      </c>
      <c r="B43" s="9"/>
      <c r="C43" s="8"/>
      <c r="D43" s="9"/>
      <c r="E43" s="8"/>
      <c r="F43" s="7">
        <f>F41*0.05</f>
        <v>5196.8055000000004</v>
      </c>
      <c r="H43" s="6"/>
    </row>
    <row r="44" spans="1:8" x14ac:dyDescent="0.2">
      <c r="A44" s="10"/>
      <c r="B44" s="9"/>
      <c r="C44" s="8"/>
      <c r="D44" s="9"/>
      <c r="E44" s="8"/>
      <c r="F44" s="7"/>
      <c r="H44" s="6"/>
    </row>
    <row r="45" spans="1:8" x14ac:dyDescent="0.2">
      <c r="A45" s="10" t="s">
        <v>2</v>
      </c>
      <c r="B45" s="9"/>
      <c r="C45" s="8"/>
      <c r="D45" s="9"/>
      <c r="E45" s="8"/>
      <c r="F45" s="129">
        <v>0</v>
      </c>
      <c r="H45" s="6"/>
    </row>
    <row r="46" spans="1:8" x14ac:dyDescent="0.2">
      <c r="A46" s="10" t="s">
        <v>1</v>
      </c>
      <c r="B46" s="9"/>
      <c r="C46" s="8"/>
      <c r="D46" s="9"/>
      <c r="E46" s="8"/>
      <c r="F46" s="121">
        <f>F45/'Impact on Recycling'!D41</f>
        <v>0</v>
      </c>
      <c r="G46" s="121"/>
      <c r="H46" s="6"/>
    </row>
    <row r="48" spans="1:8" ht="13.5" thickBot="1" x14ac:dyDescent="0.25">
      <c r="A48" s="10" t="s">
        <v>11</v>
      </c>
      <c r="B48" s="9"/>
      <c r="C48" s="8"/>
      <c r="D48" s="9"/>
      <c r="E48" s="8"/>
      <c r="F48" s="11">
        <f>IF((F41+F43)&lt;F22,(F41+F43),F22)</f>
        <v>109132.9155</v>
      </c>
      <c r="G48" s="176">
        <f>+F48/B22</f>
        <v>0.31190546769237892</v>
      </c>
    </row>
    <row r="49" spans="1:6" x14ac:dyDescent="0.2">
      <c r="A49" s="10"/>
      <c r="B49" s="9"/>
      <c r="C49" s="8"/>
      <c r="D49" s="9"/>
      <c r="E49" s="8"/>
      <c r="F49" s="7"/>
    </row>
    <row r="50" spans="1:6" s="126" customFormat="1" x14ac:dyDescent="0.2">
      <c r="A50" s="126" t="s">
        <v>0</v>
      </c>
      <c r="B50" s="127"/>
      <c r="D50" s="127"/>
      <c r="F50" s="128">
        <f>+F48-F22</f>
        <v>-26741.707542570948</v>
      </c>
    </row>
    <row r="51" spans="1:6" x14ac:dyDescent="0.2">
      <c r="F51" s="4"/>
    </row>
    <row r="52" spans="1:6" x14ac:dyDescent="0.2">
      <c r="F52" s="4"/>
    </row>
  </sheetData>
  <mergeCells count="1">
    <mergeCell ref="A8:F13"/>
  </mergeCells>
  <pageMargins left="0.7" right="0.7" top="0.75" bottom="0.75" header="0.3" footer="0.3"/>
  <pageSetup scale="7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6"/>
  <sheetViews>
    <sheetView zoomScaleNormal="100" workbookViewId="0">
      <selection activeCell="L26" sqref="L26"/>
    </sheetView>
  </sheetViews>
  <sheetFormatPr defaultRowHeight="12.75" x14ac:dyDescent="0.2"/>
  <cols>
    <col min="1" max="1" width="7.5703125" customWidth="1"/>
    <col min="2" max="2" width="24.42578125" customWidth="1"/>
    <col min="3" max="10" width="15.85546875" customWidth="1"/>
    <col min="12" max="12" width="9.28515625" bestFit="1" customWidth="1"/>
  </cols>
  <sheetData>
    <row r="1" spans="1:12" s="1" customFormat="1" ht="15.75" x14ac:dyDescent="0.25">
      <c r="A1" s="53" t="s">
        <v>42</v>
      </c>
      <c r="B1" s="56"/>
      <c r="C1" s="57"/>
      <c r="D1" s="56"/>
      <c r="E1" s="57"/>
      <c r="F1" s="58"/>
      <c r="G1" s="57"/>
    </row>
    <row r="2" spans="1:12" s="1" customFormat="1" ht="15" x14ac:dyDescent="0.2">
      <c r="A2" s="52" t="s">
        <v>18</v>
      </c>
      <c r="B2" s="39"/>
      <c r="C2" s="59"/>
      <c r="D2" s="39"/>
      <c r="E2" s="59"/>
      <c r="F2" s="49"/>
      <c r="G2" s="59"/>
    </row>
    <row r="3" spans="1:12" s="1" customFormat="1" ht="15" x14ac:dyDescent="0.2">
      <c r="A3" s="52" t="s">
        <v>17</v>
      </c>
      <c r="B3" s="39"/>
      <c r="C3" s="59"/>
      <c r="D3" s="39"/>
      <c r="E3" s="59"/>
      <c r="F3" s="49"/>
      <c r="G3" s="59"/>
    </row>
    <row r="4" spans="1:12" s="1" customFormat="1" ht="15" x14ac:dyDescent="0.2">
      <c r="A4" s="47"/>
      <c r="B4" s="40"/>
      <c r="C4" s="42"/>
      <c r="D4" s="44"/>
      <c r="E4" s="42"/>
      <c r="F4" s="43"/>
      <c r="G4" s="42"/>
    </row>
    <row r="5" spans="1:12" x14ac:dyDescent="0.2">
      <c r="A5" s="46"/>
      <c r="B5" s="45"/>
      <c r="C5" s="42"/>
      <c r="D5" s="44"/>
      <c r="E5" s="42"/>
      <c r="F5" s="43"/>
      <c r="G5" s="42"/>
    </row>
    <row r="6" spans="1:12" s="214" customFormat="1" ht="25.5" x14ac:dyDescent="0.2">
      <c r="A6" s="213"/>
      <c r="B6" s="213" t="s">
        <v>148</v>
      </c>
      <c r="C6" s="213" t="s">
        <v>19</v>
      </c>
      <c r="D6" s="213" t="s">
        <v>20</v>
      </c>
      <c r="E6" s="213" t="s">
        <v>21</v>
      </c>
      <c r="F6" s="213" t="s">
        <v>22</v>
      </c>
      <c r="G6" s="213" t="s">
        <v>23</v>
      </c>
      <c r="H6" s="213" t="s">
        <v>24</v>
      </c>
      <c r="I6" s="213" t="s">
        <v>25</v>
      </c>
      <c r="J6" s="213" t="s">
        <v>26</v>
      </c>
    </row>
    <row r="7" spans="1:12" x14ac:dyDescent="0.2">
      <c r="A7" s="227" t="s">
        <v>27</v>
      </c>
      <c r="B7" s="69" t="s">
        <v>143</v>
      </c>
      <c r="C7" s="61">
        <f>607.43*12</f>
        <v>7289.16</v>
      </c>
      <c r="D7" s="61">
        <f>679.21*12</f>
        <v>8150.52</v>
      </c>
      <c r="E7" s="61">
        <f>1000.95*12</f>
        <v>12011.400000000001</v>
      </c>
      <c r="F7" s="62">
        <v>16679</v>
      </c>
      <c r="G7" s="61">
        <f t="shared" ref="G7:G14" si="0">+C7*2000/F7</f>
        <v>874.05240122309488</v>
      </c>
      <c r="H7" s="61">
        <f t="shared" ref="H7:H14" si="1">+D7*2000/F7</f>
        <v>977.33916901492898</v>
      </c>
      <c r="I7" s="63">
        <f t="shared" ref="I7:I14" si="2">+G7+H7</f>
        <v>1851.3915702380239</v>
      </c>
      <c r="J7" s="64">
        <f t="shared" ref="J7:J14" si="3">SUM(C7:D7)/SUM(C7:E7)</f>
        <v>0.56244344484807152</v>
      </c>
      <c r="L7" s="65"/>
    </row>
    <row r="8" spans="1:12" x14ac:dyDescent="0.2">
      <c r="A8" s="228"/>
      <c r="B8" s="69" t="s">
        <v>144</v>
      </c>
      <c r="C8" s="61">
        <f>528.47*11</f>
        <v>5813.17</v>
      </c>
      <c r="D8" s="61">
        <f>647.3*11</f>
        <v>7120.2999999999993</v>
      </c>
      <c r="E8" s="61">
        <f>976.02*11</f>
        <v>10736.22</v>
      </c>
      <c r="F8" s="62">
        <v>16655</v>
      </c>
      <c r="G8" s="61">
        <f t="shared" si="0"/>
        <v>698.06904833383373</v>
      </c>
      <c r="H8" s="61">
        <f t="shared" si="1"/>
        <v>855.03452416691675</v>
      </c>
      <c r="I8" s="63">
        <f t="shared" si="2"/>
        <v>1553.1035725007505</v>
      </c>
      <c r="J8" s="64">
        <f t="shared" si="3"/>
        <v>0.54641484531483087</v>
      </c>
      <c r="L8" s="65"/>
    </row>
    <row r="9" spans="1:12" x14ac:dyDescent="0.2">
      <c r="A9" s="228"/>
      <c r="B9" s="69" t="s">
        <v>141</v>
      </c>
      <c r="C9" s="61">
        <v>6002.18</v>
      </c>
      <c r="D9" s="61">
        <f>6240.3+1682</f>
        <v>7922.3</v>
      </c>
      <c r="E9" s="66">
        <f>7917.71+2535</f>
        <v>10452.709999999999</v>
      </c>
      <c r="F9" s="62">
        <v>16752</v>
      </c>
      <c r="G9" s="61">
        <f t="shared" si="0"/>
        <v>716.59264565425019</v>
      </c>
      <c r="H9" s="61">
        <f t="shared" si="1"/>
        <v>945.83333333333337</v>
      </c>
      <c r="I9" s="63">
        <f t="shared" si="2"/>
        <v>1662.4259789875837</v>
      </c>
      <c r="J9" s="64">
        <f t="shared" si="3"/>
        <v>0.57120939698135842</v>
      </c>
      <c r="L9" s="65"/>
    </row>
    <row r="10" spans="1:12" x14ac:dyDescent="0.2">
      <c r="A10" s="228"/>
      <c r="B10" s="69" t="s">
        <v>142</v>
      </c>
      <c r="C10" s="61">
        <f>SUM('Tons - diverted'!E11:E14)+SUM('recycle May 2012-April 2013'!D14:D21)</f>
        <v>6103.5973007170878</v>
      </c>
      <c r="D10" s="61">
        <f>+SUM('Tons - diverted'!D11:D14)+SUM('yw May 2012-April 2013'!D14:D21)</f>
        <v>8824.3749273440462</v>
      </c>
      <c r="E10" s="66">
        <f>SUM('Tons - diverted'!C11:C14)+SUM('garbage May 2012-April 2013'!D14:D21)</f>
        <v>10980.656248835538</v>
      </c>
      <c r="F10" s="62">
        <v>16753</v>
      </c>
      <c r="G10" s="61">
        <f t="shared" ref="G10" si="4">+C10*2000/F10</f>
        <v>728.65723162622669</v>
      </c>
      <c r="H10" s="61">
        <f t="shared" ref="H10" si="5">+D10*2000/F10</f>
        <v>1053.4680269019336</v>
      </c>
      <c r="I10" s="63">
        <f t="shared" ref="I10" si="6">+G10+H10</f>
        <v>1782.1252585281604</v>
      </c>
      <c r="J10" s="64">
        <f t="shared" ref="J10" si="7">SUM(C10:D10)/SUM(C10:E10)</f>
        <v>0.57617763292150936</v>
      </c>
      <c r="L10" s="65"/>
    </row>
    <row r="11" spans="1:12" x14ac:dyDescent="0.2">
      <c r="A11" s="228"/>
      <c r="B11" s="69" t="s">
        <v>145</v>
      </c>
      <c r="C11" s="68">
        <f>1529.98+1974.01</f>
        <v>3503.99</v>
      </c>
      <c r="D11" s="68">
        <f>2045.88+2103.64</f>
        <v>4149.5200000000004</v>
      </c>
      <c r="E11" s="113">
        <f>2693.2+3467</f>
        <v>6160.2</v>
      </c>
      <c r="F11" s="114">
        <v>16749</v>
      </c>
      <c r="G11" s="61">
        <f t="shared" si="0"/>
        <v>418.41184548331245</v>
      </c>
      <c r="H11" s="61">
        <f t="shared" si="1"/>
        <v>495.49465639739691</v>
      </c>
      <c r="I11" s="63">
        <f t="shared" si="2"/>
        <v>913.90650188070936</v>
      </c>
      <c r="J11" s="64">
        <f t="shared" si="3"/>
        <v>0.55405173555836928</v>
      </c>
      <c r="L11" s="65"/>
    </row>
    <row r="12" spans="1:12" x14ac:dyDescent="0.2">
      <c r="A12" s="228"/>
      <c r="B12" s="204" t="s">
        <v>146</v>
      </c>
      <c r="C12" s="209" t="s">
        <v>147</v>
      </c>
      <c r="D12" s="209" t="s">
        <v>147</v>
      </c>
      <c r="E12" s="209" t="s">
        <v>147</v>
      </c>
      <c r="F12" s="209" t="s">
        <v>147</v>
      </c>
      <c r="G12" s="209" t="s">
        <v>147</v>
      </c>
      <c r="H12" s="209" t="s">
        <v>147</v>
      </c>
      <c r="I12" s="209" t="s">
        <v>147</v>
      </c>
      <c r="J12" s="209" t="s">
        <v>147</v>
      </c>
      <c r="L12" s="65"/>
    </row>
    <row r="13" spans="1:12" x14ac:dyDescent="0.2">
      <c r="A13" s="228"/>
      <c r="B13" s="204" t="s">
        <v>149</v>
      </c>
      <c r="C13" s="205">
        <f>SUM('Tons - diverted'!E3:E14)</f>
        <v>6006.18</v>
      </c>
      <c r="D13" s="205">
        <f>+'Tons - diverted'!D15</f>
        <v>8826.0299999999988</v>
      </c>
      <c r="E13" s="205">
        <f>+'Tons - diverted'!C15</f>
        <v>10893.269999999999</v>
      </c>
      <c r="F13" s="206">
        <f>+F11</f>
        <v>16749</v>
      </c>
      <c r="G13" s="205">
        <f t="shared" si="0"/>
        <v>717.1986387247</v>
      </c>
      <c r="H13" s="205">
        <f t="shared" si="1"/>
        <v>1053.9172487909723</v>
      </c>
      <c r="I13" s="207">
        <f t="shared" si="2"/>
        <v>1771.1158875156723</v>
      </c>
      <c r="J13" s="208">
        <f t="shared" si="3"/>
        <v>0.57655717211107438</v>
      </c>
      <c r="L13" s="65"/>
    </row>
    <row r="14" spans="1:12" x14ac:dyDescent="0.2">
      <c r="A14" s="229"/>
      <c r="B14" s="204" t="s">
        <v>150</v>
      </c>
      <c r="C14" s="207">
        <f>SUM('recycle May 2012-April 2013'!D14:D25)</f>
        <v>6136.687300717088</v>
      </c>
      <c r="D14" s="207">
        <f>SUM('yw May 2012-April 2013'!D14:D25)</f>
        <v>8964.8049273440465</v>
      </c>
      <c r="E14" s="205">
        <f>+SUM('garbage May 2012-April 2013'!D14:D25)</f>
        <v>11024.556248835537</v>
      </c>
      <c r="F14" s="206">
        <v>16888</v>
      </c>
      <c r="G14" s="205">
        <f t="shared" si="0"/>
        <v>726.75121988596504</v>
      </c>
      <c r="H14" s="205">
        <f t="shared" si="1"/>
        <v>1061.6775138967369</v>
      </c>
      <c r="I14" s="205">
        <f t="shared" si="2"/>
        <v>1788.4287337827018</v>
      </c>
      <c r="J14" s="208">
        <f t="shared" si="3"/>
        <v>0.57802435149790921</v>
      </c>
    </row>
    <row r="15" spans="1:12" x14ac:dyDescent="0.2">
      <c r="C15" s="175"/>
    </row>
    <row r="17" spans="1:12" x14ac:dyDescent="0.2">
      <c r="A17" s="212"/>
      <c r="B17" s="212"/>
      <c r="C17" s="60" t="s">
        <v>19</v>
      </c>
      <c r="D17" s="60" t="s">
        <v>20</v>
      </c>
      <c r="E17" s="60" t="s">
        <v>21</v>
      </c>
      <c r="F17" s="60"/>
      <c r="G17" s="60"/>
      <c r="H17" s="60"/>
      <c r="I17" s="60"/>
      <c r="J17" s="60" t="s">
        <v>26</v>
      </c>
    </row>
    <row r="18" spans="1:12" ht="12.75" customHeight="1" x14ac:dyDescent="0.2">
      <c r="A18" s="228" t="s">
        <v>28</v>
      </c>
      <c r="B18" t="str">
        <f>B7</f>
        <v>1/1/2009 - 12/31/2009</v>
      </c>
      <c r="C18" s="61">
        <f>688.95/9*12</f>
        <v>918.60000000000014</v>
      </c>
      <c r="D18" s="67" t="s">
        <v>29</v>
      </c>
      <c r="E18" s="61">
        <f>3810.54/9*12</f>
        <v>5080.7199999999993</v>
      </c>
      <c r="F18" s="62"/>
      <c r="G18" s="61"/>
      <c r="H18" s="61"/>
      <c r="I18" s="63"/>
      <c r="J18" s="64">
        <f t="shared" ref="J18:J25" si="8">SUM(C18:D18)/SUM(C18:E18)</f>
        <v>0.1531173533000407</v>
      </c>
    </row>
    <row r="19" spans="1:12" x14ac:dyDescent="0.2">
      <c r="A19" s="228"/>
      <c r="B19" t="str">
        <f>B8</f>
        <v>1/1/2010 - 12/31/2010</v>
      </c>
      <c r="C19" s="61">
        <v>864.03</v>
      </c>
      <c r="D19" s="67" t="s">
        <v>29</v>
      </c>
      <c r="E19" s="61">
        <v>4819</v>
      </c>
      <c r="F19" s="62"/>
      <c r="G19" s="61"/>
      <c r="H19" s="61"/>
      <c r="I19" s="63"/>
      <c r="J19" s="64">
        <f t="shared" si="8"/>
        <v>0.15203685357986849</v>
      </c>
    </row>
    <row r="20" spans="1:12" x14ac:dyDescent="0.2">
      <c r="A20" s="228"/>
      <c r="B20" t="str">
        <f>B9</f>
        <v>1/1/2011 - 12/31/2011</v>
      </c>
      <c r="C20" s="68">
        <f>787.63+198.73</f>
        <v>986.36</v>
      </c>
      <c r="D20" s="67" t="s">
        <v>29</v>
      </c>
      <c r="E20" s="61">
        <f>3783.34+1165</f>
        <v>4948.34</v>
      </c>
      <c r="F20" s="62"/>
      <c r="G20" s="61"/>
      <c r="H20" s="61"/>
      <c r="I20" s="63"/>
      <c r="J20" s="64">
        <f t="shared" si="8"/>
        <v>0.16620216691660911</v>
      </c>
    </row>
    <row r="21" spans="1:12" x14ac:dyDescent="0.2">
      <c r="A21" s="228"/>
      <c r="B21" t="str">
        <f t="shared" ref="B21:B25" si="9">B10</f>
        <v>1/1/2012 - 12/31/2012</v>
      </c>
      <c r="C21" s="68">
        <f>+SUM('Tons - diverted'!K11:K14)+SUM('recycle May 2012-April 2013'!D2:D9)</f>
        <v>1148.2398559606304</v>
      </c>
      <c r="D21" s="67" t="s">
        <v>29</v>
      </c>
      <c r="E21" s="61">
        <f>+SUM('Tons - diverted'!I11:I14)+SUM('garbage May 2012-April 2013'!D2:D9)</f>
        <v>5387.6582489931216</v>
      </c>
      <c r="F21" s="62"/>
      <c r="G21" s="61"/>
      <c r="H21" s="61"/>
      <c r="I21" s="63"/>
      <c r="J21" s="64">
        <f t="shared" si="8"/>
        <v>0.1756820313784184</v>
      </c>
    </row>
    <row r="22" spans="1:12" x14ac:dyDescent="0.2">
      <c r="A22" s="228"/>
      <c r="B22" t="str">
        <f t="shared" si="9"/>
        <v>1/1/2012 - 07/31/2012 *</v>
      </c>
      <c r="C22" s="68">
        <f>283.72+364.2</f>
        <v>647.92000000000007</v>
      </c>
      <c r="D22" s="115" t="s">
        <v>29</v>
      </c>
      <c r="E22" s="68">
        <f>1254.01+1627.8</f>
        <v>2881.81</v>
      </c>
      <c r="F22" s="62"/>
      <c r="G22" s="61"/>
      <c r="H22" s="61"/>
      <c r="I22" s="63"/>
      <c r="J22" s="64">
        <f t="shared" si="8"/>
        <v>0.1835607822694654</v>
      </c>
    </row>
    <row r="23" spans="1:12" x14ac:dyDescent="0.2">
      <c r="A23" s="228"/>
      <c r="B23" s="204" t="str">
        <f t="shared" si="9"/>
        <v>For Reporting Period Incetive:</v>
      </c>
      <c r="C23" s="209" t="s">
        <v>147</v>
      </c>
      <c r="D23" s="209" t="s">
        <v>147</v>
      </c>
      <c r="E23" s="209" t="s">
        <v>147</v>
      </c>
      <c r="F23" s="206"/>
      <c r="G23" s="205"/>
      <c r="H23" s="205"/>
      <c r="I23" s="207"/>
      <c r="J23" s="209" t="s">
        <v>147</v>
      </c>
    </row>
    <row r="24" spans="1:12" x14ac:dyDescent="0.2">
      <c r="A24" s="228"/>
      <c r="B24" s="204" t="str">
        <f t="shared" si="9"/>
        <v>5/1/2011 - 4/30/2012 **</v>
      </c>
      <c r="C24" s="205">
        <f>+'Tons - diverted'!K15</f>
        <v>1074.3700000000001</v>
      </c>
      <c r="D24" s="210" t="s">
        <v>29</v>
      </c>
      <c r="E24" s="205">
        <f>+'Tons - diverted'!I15</f>
        <v>5343.77</v>
      </c>
      <c r="F24" s="206"/>
      <c r="G24" s="205"/>
      <c r="H24" s="205"/>
      <c r="I24" s="207"/>
      <c r="J24" s="208">
        <f t="shared" si="8"/>
        <v>0.16739584988797379</v>
      </c>
      <c r="L24" s="65"/>
    </row>
    <row r="25" spans="1:12" x14ac:dyDescent="0.2">
      <c r="A25" s="229"/>
      <c r="B25" s="204" t="str">
        <f t="shared" si="9"/>
        <v>5/1/2012 - 4/30/2013 **</v>
      </c>
      <c r="C25" s="207">
        <f>SUM('recycle May 2012-April 2013'!D2:D13)</f>
        <v>1170.6598559606302</v>
      </c>
      <c r="D25" s="211" t="s">
        <v>29</v>
      </c>
      <c r="E25" s="205">
        <f>+SUM('garbage May 2012-April 2013'!D2:D13)</f>
        <v>5106.2782489931215</v>
      </c>
      <c r="F25" s="206"/>
      <c r="G25" s="205"/>
      <c r="H25" s="205"/>
      <c r="I25" s="205"/>
      <c r="J25" s="208">
        <f t="shared" si="8"/>
        <v>0.18650173641775231</v>
      </c>
    </row>
    <row r="29" spans="1:12" x14ac:dyDescent="0.2">
      <c r="A29" s="212"/>
      <c r="B29" s="212"/>
      <c r="C29" s="60" t="s">
        <v>19</v>
      </c>
      <c r="D29" s="60" t="s">
        <v>20</v>
      </c>
      <c r="E29" s="60" t="s">
        <v>21</v>
      </c>
      <c r="F29" s="60"/>
      <c r="G29" s="60"/>
      <c r="H29" s="60"/>
      <c r="I29" s="60"/>
      <c r="J29" s="60" t="s">
        <v>26</v>
      </c>
    </row>
    <row r="30" spans="1:12" x14ac:dyDescent="0.2">
      <c r="A30" s="228" t="s">
        <v>30</v>
      </c>
      <c r="B30" t="str">
        <f>B18</f>
        <v>1/1/2009 - 12/31/2009</v>
      </c>
      <c r="C30" s="61">
        <f>+C7+C18</f>
        <v>8207.76</v>
      </c>
      <c r="D30" s="61">
        <f>+D7</f>
        <v>8150.52</v>
      </c>
      <c r="E30" s="61">
        <f>+E7+E18</f>
        <v>17092.120000000003</v>
      </c>
      <c r="F30" s="62"/>
      <c r="G30" s="61"/>
      <c r="H30" s="61"/>
      <c r="I30" s="63"/>
      <c r="J30" s="64">
        <f t="shared" ref="J30:J37" si="10">SUM(C30:D30)/SUM(C30:E30)</f>
        <v>0.48903092339702964</v>
      </c>
    </row>
    <row r="31" spans="1:12" x14ac:dyDescent="0.2">
      <c r="A31" s="228"/>
      <c r="B31" t="str">
        <f>B19</f>
        <v>1/1/2010 - 12/31/2010</v>
      </c>
      <c r="C31" s="61">
        <f>+C8+C19</f>
        <v>6677.2</v>
      </c>
      <c r="D31" s="61">
        <f>+D8</f>
        <v>7120.2999999999993</v>
      </c>
      <c r="E31" s="61">
        <f>+E8+E19</f>
        <v>15555.22</v>
      </c>
      <c r="F31" s="62"/>
      <c r="G31" s="61"/>
      <c r="H31" s="61"/>
      <c r="I31" s="63"/>
      <c r="J31" s="64">
        <f t="shared" si="10"/>
        <v>0.47005865214535481</v>
      </c>
    </row>
    <row r="32" spans="1:12" x14ac:dyDescent="0.2">
      <c r="A32" s="228"/>
      <c r="B32" t="str">
        <f>B20</f>
        <v>1/1/2011 - 12/31/2011</v>
      </c>
      <c r="C32" s="61">
        <f>+C9+C20</f>
        <v>6988.54</v>
      </c>
      <c r="D32" s="61">
        <f>+D9</f>
        <v>7922.3</v>
      </c>
      <c r="E32" s="61">
        <f>+E9+E20</f>
        <v>15401.05</v>
      </c>
      <c r="F32" s="62"/>
      <c r="G32" s="61"/>
      <c r="H32" s="61"/>
      <c r="I32" s="63"/>
      <c r="J32" s="64">
        <f t="shared" si="10"/>
        <v>0.49191389913331041</v>
      </c>
    </row>
    <row r="33" spans="1:12" x14ac:dyDescent="0.2">
      <c r="A33" s="228"/>
      <c r="B33" t="str">
        <f>B21</f>
        <v>1/1/2012 - 12/31/2012</v>
      </c>
      <c r="C33" s="61">
        <f>+C10+C21</f>
        <v>7251.8371566777187</v>
      </c>
      <c r="D33" s="61">
        <f>+D10</f>
        <v>8824.3749273440462</v>
      </c>
      <c r="E33" s="61">
        <f>+E10+E21</f>
        <v>16368.314497828658</v>
      </c>
      <c r="F33" s="62"/>
      <c r="G33" s="61"/>
      <c r="H33" s="61"/>
      <c r="I33" s="63"/>
      <c r="J33" s="64">
        <f t="shared" si="10"/>
        <v>0.49549843310134328</v>
      </c>
    </row>
    <row r="34" spans="1:12" x14ac:dyDescent="0.2">
      <c r="A34" s="228"/>
      <c r="B34" t="str">
        <f t="shared" ref="B34:B37" si="11">B22</f>
        <v>1/1/2012 - 07/31/2012 *</v>
      </c>
      <c r="C34" s="61">
        <f>+C11+C22</f>
        <v>4151.91</v>
      </c>
      <c r="D34" s="61">
        <f>+D11</f>
        <v>4149.5200000000004</v>
      </c>
      <c r="E34" s="61">
        <f>+E11+E22</f>
        <v>9042.01</v>
      </c>
      <c r="F34" s="62"/>
      <c r="G34" s="61"/>
      <c r="H34" s="61"/>
      <c r="I34" s="63"/>
      <c r="J34" s="64">
        <f t="shared" si="10"/>
        <v>0.47864956433095157</v>
      </c>
    </row>
    <row r="35" spans="1:12" x14ac:dyDescent="0.2">
      <c r="A35" s="228"/>
      <c r="B35" s="204" t="str">
        <f t="shared" si="11"/>
        <v>For Reporting Period Incetive:</v>
      </c>
      <c r="C35" s="209" t="s">
        <v>147</v>
      </c>
      <c r="D35" s="209" t="s">
        <v>147</v>
      </c>
      <c r="E35" s="209" t="s">
        <v>147</v>
      </c>
      <c r="F35" s="206"/>
      <c r="G35" s="205"/>
      <c r="H35" s="205"/>
      <c r="I35" s="207"/>
      <c r="J35" s="209" t="s">
        <v>147</v>
      </c>
    </row>
    <row r="36" spans="1:12" x14ac:dyDescent="0.2">
      <c r="A36" s="228"/>
      <c r="B36" s="204" t="str">
        <f>B24</f>
        <v>5/1/2011 - 4/30/2012 **</v>
      </c>
      <c r="C36" s="205">
        <f>+C13+C24</f>
        <v>7080.55</v>
      </c>
      <c r="D36" s="205">
        <f>+D13</f>
        <v>8826.0299999999988</v>
      </c>
      <c r="E36" s="205">
        <f>+E13+E24</f>
        <v>16237.039999999999</v>
      </c>
      <c r="F36" s="206"/>
      <c r="G36" s="205"/>
      <c r="H36" s="205"/>
      <c r="I36" s="207"/>
      <c r="J36" s="208">
        <f t="shared" si="10"/>
        <v>0.49485963310915199</v>
      </c>
      <c r="L36" s="65"/>
    </row>
    <row r="37" spans="1:12" x14ac:dyDescent="0.2">
      <c r="A37" s="229"/>
      <c r="B37" s="204" t="str">
        <f t="shared" si="11"/>
        <v>5/1/2012 - 4/30/2013 **</v>
      </c>
      <c r="C37" s="207">
        <f t="shared" ref="C37" si="12">+C14+C25</f>
        <v>7307.347156677718</v>
      </c>
      <c r="D37" s="207">
        <f t="shared" ref="D37" si="13">+D14</f>
        <v>8964.8049273440465</v>
      </c>
      <c r="E37" s="205">
        <f t="shared" ref="E37" si="14">+E14+E25</f>
        <v>16130.834497828659</v>
      </c>
      <c r="F37" s="206"/>
      <c r="G37" s="205"/>
      <c r="H37" s="205"/>
      <c r="I37" s="205"/>
      <c r="J37" s="208">
        <f t="shared" si="10"/>
        <v>0.50218062594070045</v>
      </c>
    </row>
    <row r="40" spans="1:12" x14ac:dyDescent="0.2">
      <c r="E40" s="46" t="s">
        <v>39</v>
      </c>
    </row>
    <row r="41" spans="1:12" x14ac:dyDescent="0.2">
      <c r="C41" s="70" t="s">
        <v>32</v>
      </c>
      <c r="D41" s="62">
        <v>10492</v>
      </c>
      <c r="E41" s="105">
        <v>41000</v>
      </c>
    </row>
    <row r="42" spans="1:12" x14ac:dyDescent="0.2">
      <c r="C42" s="70" t="s">
        <v>33</v>
      </c>
      <c r="D42" s="62">
        <v>10776</v>
      </c>
      <c r="E42" s="105">
        <v>41394</v>
      </c>
    </row>
    <row r="43" spans="1:12" x14ac:dyDescent="0.2">
      <c r="C43" s="71" t="s">
        <v>31</v>
      </c>
      <c r="D43" s="72">
        <f>D42-D41</f>
        <v>284</v>
      </c>
    </row>
    <row r="45" spans="1:12" x14ac:dyDescent="0.2">
      <c r="B45" s="116" t="s">
        <v>152</v>
      </c>
    </row>
    <row r="46" spans="1:12" x14ac:dyDescent="0.2">
      <c r="B46" s="116" t="s">
        <v>151</v>
      </c>
    </row>
  </sheetData>
  <mergeCells count="3">
    <mergeCell ref="A7:A14"/>
    <mergeCell ref="A18:A25"/>
    <mergeCell ref="A30:A37"/>
  </mergeCells>
  <pageMargins left="0.7" right="0.7" top="0.75" bottom="0.75" header="0.3" footer="0.3"/>
  <pageSetup scale="77" orientation="landscape"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6" tint="-0.249977111117893"/>
    <pageSetUpPr fitToPage="1"/>
  </sheetPr>
  <dimension ref="A1:I54"/>
  <sheetViews>
    <sheetView tabSelected="1" zoomScale="90" zoomScaleNormal="90" workbookViewId="0">
      <selection activeCell="D34" sqref="D34"/>
    </sheetView>
  </sheetViews>
  <sheetFormatPr defaultRowHeight="15" x14ac:dyDescent="0.25"/>
  <cols>
    <col min="1" max="1" width="59.42578125" style="73" bestFit="1" customWidth="1"/>
    <col min="2" max="2" width="18.7109375" style="73" customWidth="1"/>
    <col min="3" max="3" width="7.7109375" style="73" bestFit="1" customWidth="1"/>
    <col min="4" max="4" width="19.7109375" style="73" bestFit="1" customWidth="1"/>
    <col min="5" max="5" width="3.7109375" style="73" customWidth="1"/>
    <col min="6" max="6" width="18.42578125" style="73" customWidth="1"/>
    <col min="7" max="7" width="2.140625" style="73" customWidth="1"/>
    <col min="8" max="256" width="9.140625" style="73"/>
    <col min="257" max="257" width="59.42578125" style="73" bestFit="1" customWidth="1"/>
    <col min="258" max="258" width="22.7109375" style="73" customWidth="1"/>
    <col min="259" max="259" width="5.7109375" style="73" bestFit="1" customWidth="1"/>
    <col min="260" max="260" width="22.7109375" style="73" customWidth="1"/>
    <col min="261" max="261" width="3.7109375" style="73" customWidth="1"/>
    <col min="262" max="262" width="19.42578125" style="73" bestFit="1" customWidth="1"/>
    <col min="263" max="263" width="9.85546875" style="73" bestFit="1" customWidth="1"/>
    <col min="264" max="512" width="9.140625" style="73"/>
    <col min="513" max="513" width="59.42578125" style="73" bestFit="1" customWidth="1"/>
    <col min="514" max="514" width="22.7109375" style="73" customWidth="1"/>
    <col min="515" max="515" width="5.7109375" style="73" bestFit="1" customWidth="1"/>
    <col min="516" max="516" width="22.7109375" style="73" customWidth="1"/>
    <col min="517" max="517" width="3.7109375" style="73" customWidth="1"/>
    <col min="518" max="518" width="19.42578125" style="73" bestFit="1" customWidth="1"/>
    <col min="519" max="519" width="9.85546875" style="73" bestFit="1" customWidth="1"/>
    <col min="520" max="768" width="9.140625" style="73"/>
    <col min="769" max="769" width="59.42578125" style="73" bestFit="1" customWidth="1"/>
    <col min="770" max="770" width="22.7109375" style="73" customWidth="1"/>
    <col min="771" max="771" width="5.7109375" style="73" bestFit="1" customWidth="1"/>
    <col min="772" max="772" width="22.7109375" style="73" customWidth="1"/>
    <col min="773" max="773" width="3.7109375" style="73" customWidth="1"/>
    <col min="774" max="774" width="19.42578125" style="73" bestFit="1" customWidth="1"/>
    <col min="775" max="775" width="9.85546875" style="73" bestFit="1" customWidth="1"/>
    <col min="776" max="1024" width="9.140625" style="73"/>
    <col min="1025" max="1025" width="59.42578125" style="73" bestFit="1" customWidth="1"/>
    <col min="1026" max="1026" width="22.7109375" style="73" customWidth="1"/>
    <col min="1027" max="1027" width="5.7109375" style="73" bestFit="1" customWidth="1"/>
    <col min="1028" max="1028" width="22.7109375" style="73" customWidth="1"/>
    <col min="1029" max="1029" width="3.7109375" style="73" customWidth="1"/>
    <col min="1030" max="1030" width="19.42578125" style="73" bestFit="1" customWidth="1"/>
    <col min="1031" max="1031" width="9.85546875" style="73" bestFit="1" customWidth="1"/>
    <col min="1032" max="1280" width="9.140625" style="73"/>
    <col min="1281" max="1281" width="59.42578125" style="73" bestFit="1" customWidth="1"/>
    <col min="1282" max="1282" width="22.7109375" style="73" customWidth="1"/>
    <col min="1283" max="1283" width="5.7109375" style="73" bestFit="1" customWidth="1"/>
    <col min="1284" max="1284" width="22.7109375" style="73" customWidth="1"/>
    <col min="1285" max="1285" width="3.7109375" style="73" customWidth="1"/>
    <col min="1286" max="1286" width="19.42578125" style="73" bestFit="1" customWidth="1"/>
    <col min="1287" max="1287" width="9.85546875" style="73" bestFit="1" customWidth="1"/>
    <col min="1288" max="1536" width="9.140625" style="73"/>
    <col min="1537" max="1537" width="59.42578125" style="73" bestFit="1" customWidth="1"/>
    <col min="1538" max="1538" width="22.7109375" style="73" customWidth="1"/>
    <col min="1539" max="1539" width="5.7109375" style="73" bestFit="1" customWidth="1"/>
    <col min="1540" max="1540" width="22.7109375" style="73" customWidth="1"/>
    <col min="1541" max="1541" width="3.7109375" style="73" customWidth="1"/>
    <col min="1542" max="1542" width="19.42578125" style="73" bestFit="1" customWidth="1"/>
    <col min="1543" max="1543" width="9.85546875" style="73" bestFit="1" customWidth="1"/>
    <col min="1544" max="1792" width="9.140625" style="73"/>
    <col min="1793" max="1793" width="59.42578125" style="73" bestFit="1" customWidth="1"/>
    <col min="1794" max="1794" width="22.7109375" style="73" customWidth="1"/>
    <col min="1795" max="1795" width="5.7109375" style="73" bestFit="1" customWidth="1"/>
    <col min="1796" max="1796" width="22.7109375" style="73" customWidth="1"/>
    <col min="1797" max="1797" width="3.7109375" style="73" customWidth="1"/>
    <col min="1798" max="1798" width="19.42578125" style="73" bestFit="1" customWidth="1"/>
    <col min="1799" max="1799" width="9.85546875" style="73" bestFit="1" customWidth="1"/>
    <col min="1800" max="2048" width="9.140625" style="73"/>
    <col min="2049" max="2049" width="59.42578125" style="73" bestFit="1" customWidth="1"/>
    <col min="2050" max="2050" width="22.7109375" style="73" customWidth="1"/>
    <col min="2051" max="2051" width="5.7109375" style="73" bestFit="1" customWidth="1"/>
    <col min="2052" max="2052" width="22.7109375" style="73" customWidth="1"/>
    <col min="2053" max="2053" width="3.7109375" style="73" customWidth="1"/>
    <col min="2054" max="2054" width="19.42578125" style="73" bestFit="1" customWidth="1"/>
    <col min="2055" max="2055" width="9.85546875" style="73" bestFit="1" customWidth="1"/>
    <col min="2056" max="2304" width="9.140625" style="73"/>
    <col min="2305" max="2305" width="59.42578125" style="73" bestFit="1" customWidth="1"/>
    <col min="2306" max="2306" width="22.7109375" style="73" customWidth="1"/>
    <col min="2307" max="2307" width="5.7109375" style="73" bestFit="1" customWidth="1"/>
    <col min="2308" max="2308" width="22.7109375" style="73" customWidth="1"/>
    <col min="2309" max="2309" width="3.7109375" style="73" customWidth="1"/>
    <col min="2310" max="2310" width="19.42578125" style="73" bestFit="1" customWidth="1"/>
    <col min="2311" max="2311" width="9.85546875" style="73" bestFit="1" customWidth="1"/>
    <col min="2312" max="2560" width="9.140625" style="73"/>
    <col min="2561" max="2561" width="59.42578125" style="73" bestFit="1" customWidth="1"/>
    <col min="2562" max="2562" width="22.7109375" style="73" customWidth="1"/>
    <col min="2563" max="2563" width="5.7109375" style="73" bestFit="1" customWidth="1"/>
    <col min="2564" max="2564" width="22.7109375" style="73" customWidth="1"/>
    <col min="2565" max="2565" width="3.7109375" style="73" customWidth="1"/>
    <col min="2566" max="2566" width="19.42578125" style="73" bestFit="1" customWidth="1"/>
    <col min="2567" max="2567" width="9.85546875" style="73" bestFit="1" customWidth="1"/>
    <col min="2568" max="2816" width="9.140625" style="73"/>
    <col min="2817" max="2817" width="59.42578125" style="73" bestFit="1" customWidth="1"/>
    <col min="2818" max="2818" width="22.7109375" style="73" customWidth="1"/>
    <col min="2819" max="2819" width="5.7109375" style="73" bestFit="1" customWidth="1"/>
    <col min="2820" max="2820" width="22.7109375" style="73" customWidth="1"/>
    <col min="2821" max="2821" width="3.7109375" style="73" customWidth="1"/>
    <col min="2822" max="2822" width="19.42578125" style="73" bestFit="1" customWidth="1"/>
    <col min="2823" max="2823" width="9.85546875" style="73" bestFit="1" customWidth="1"/>
    <col min="2824" max="3072" width="9.140625" style="73"/>
    <col min="3073" max="3073" width="59.42578125" style="73" bestFit="1" customWidth="1"/>
    <col min="3074" max="3074" width="22.7109375" style="73" customWidth="1"/>
    <col min="3075" max="3075" width="5.7109375" style="73" bestFit="1" customWidth="1"/>
    <col min="3076" max="3076" width="22.7109375" style="73" customWidth="1"/>
    <col min="3077" max="3077" width="3.7109375" style="73" customWidth="1"/>
    <col min="3078" max="3078" width="19.42578125" style="73" bestFit="1" customWidth="1"/>
    <col min="3079" max="3079" width="9.85546875" style="73" bestFit="1" customWidth="1"/>
    <col min="3080" max="3328" width="9.140625" style="73"/>
    <col min="3329" max="3329" width="59.42578125" style="73" bestFit="1" customWidth="1"/>
    <col min="3330" max="3330" width="22.7109375" style="73" customWidth="1"/>
    <col min="3331" max="3331" width="5.7109375" style="73" bestFit="1" customWidth="1"/>
    <col min="3332" max="3332" width="22.7109375" style="73" customWidth="1"/>
    <col min="3333" max="3333" width="3.7109375" style="73" customWidth="1"/>
    <col min="3334" max="3334" width="19.42578125" style="73" bestFit="1" customWidth="1"/>
    <col min="3335" max="3335" width="9.85546875" style="73" bestFit="1" customWidth="1"/>
    <col min="3336" max="3584" width="9.140625" style="73"/>
    <col min="3585" max="3585" width="59.42578125" style="73" bestFit="1" customWidth="1"/>
    <col min="3586" max="3586" width="22.7109375" style="73" customWidth="1"/>
    <col min="3587" max="3587" width="5.7109375" style="73" bestFit="1" customWidth="1"/>
    <col min="3588" max="3588" width="22.7109375" style="73" customWidth="1"/>
    <col min="3589" max="3589" width="3.7109375" style="73" customWidth="1"/>
    <col min="3590" max="3590" width="19.42578125" style="73" bestFit="1" customWidth="1"/>
    <col min="3591" max="3591" width="9.85546875" style="73" bestFit="1" customWidth="1"/>
    <col min="3592" max="3840" width="9.140625" style="73"/>
    <col min="3841" max="3841" width="59.42578125" style="73" bestFit="1" customWidth="1"/>
    <col min="3842" max="3842" width="22.7109375" style="73" customWidth="1"/>
    <col min="3843" max="3843" width="5.7109375" style="73" bestFit="1" customWidth="1"/>
    <col min="3844" max="3844" width="22.7109375" style="73" customWidth="1"/>
    <col min="3845" max="3845" width="3.7109375" style="73" customWidth="1"/>
    <col min="3846" max="3846" width="19.42578125" style="73" bestFit="1" customWidth="1"/>
    <col min="3847" max="3847" width="9.85546875" style="73" bestFit="1" customWidth="1"/>
    <col min="3848" max="4096" width="9.140625" style="73"/>
    <col min="4097" max="4097" width="59.42578125" style="73" bestFit="1" customWidth="1"/>
    <col min="4098" max="4098" width="22.7109375" style="73" customWidth="1"/>
    <col min="4099" max="4099" width="5.7109375" style="73" bestFit="1" customWidth="1"/>
    <col min="4100" max="4100" width="22.7109375" style="73" customWidth="1"/>
    <col min="4101" max="4101" width="3.7109375" style="73" customWidth="1"/>
    <col min="4102" max="4102" width="19.42578125" style="73" bestFit="1" customWidth="1"/>
    <col min="4103" max="4103" width="9.85546875" style="73" bestFit="1" customWidth="1"/>
    <col min="4104" max="4352" width="9.140625" style="73"/>
    <col min="4353" max="4353" width="59.42578125" style="73" bestFit="1" customWidth="1"/>
    <col min="4354" max="4354" width="22.7109375" style="73" customWidth="1"/>
    <col min="4355" max="4355" width="5.7109375" style="73" bestFit="1" customWidth="1"/>
    <col min="4356" max="4356" width="22.7109375" style="73" customWidth="1"/>
    <col min="4357" max="4357" width="3.7109375" style="73" customWidth="1"/>
    <col min="4358" max="4358" width="19.42578125" style="73" bestFit="1" customWidth="1"/>
    <col min="4359" max="4359" width="9.85546875" style="73" bestFit="1" customWidth="1"/>
    <col min="4360" max="4608" width="9.140625" style="73"/>
    <col min="4609" max="4609" width="59.42578125" style="73" bestFit="1" customWidth="1"/>
    <col min="4610" max="4610" width="22.7109375" style="73" customWidth="1"/>
    <col min="4611" max="4611" width="5.7109375" style="73" bestFit="1" customWidth="1"/>
    <col min="4612" max="4612" width="22.7109375" style="73" customWidth="1"/>
    <col min="4613" max="4613" width="3.7109375" style="73" customWidth="1"/>
    <col min="4614" max="4614" width="19.42578125" style="73" bestFit="1" customWidth="1"/>
    <col min="4615" max="4615" width="9.85546875" style="73" bestFit="1" customWidth="1"/>
    <col min="4616" max="4864" width="9.140625" style="73"/>
    <col min="4865" max="4865" width="59.42578125" style="73" bestFit="1" customWidth="1"/>
    <col min="4866" max="4866" width="22.7109375" style="73" customWidth="1"/>
    <col min="4867" max="4867" width="5.7109375" style="73" bestFit="1" customWidth="1"/>
    <col min="4868" max="4868" width="22.7109375" style="73" customWidth="1"/>
    <col min="4869" max="4869" width="3.7109375" style="73" customWidth="1"/>
    <col min="4870" max="4870" width="19.42578125" style="73" bestFit="1" customWidth="1"/>
    <col min="4871" max="4871" width="9.85546875" style="73" bestFit="1" customWidth="1"/>
    <col min="4872" max="5120" width="9.140625" style="73"/>
    <col min="5121" max="5121" width="59.42578125" style="73" bestFit="1" customWidth="1"/>
    <col min="5122" max="5122" width="22.7109375" style="73" customWidth="1"/>
    <col min="5123" max="5123" width="5.7109375" style="73" bestFit="1" customWidth="1"/>
    <col min="5124" max="5124" width="22.7109375" style="73" customWidth="1"/>
    <col min="5125" max="5125" width="3.7109375" style="73" customWidth="1"/>
    <col min="5126" max="5126" width="19.42578125" style="73" bestFit="1" customWidth="1"/>
    <col min="5127" max="5127" width="9.85546875" style="73" bestFit="1" customWidth="1"/>
    <col min="5128" max="5376" width="9.140625" style="73"/>
    <col min="5377" max="5377" width="59.42578125" style="73" bestFit="1" customWidth="1"/>
    <col min="5378" max="5378" width="22.7109375" style="73" customWidth="1"/>
    <col min="5379" max="5379" width="5.7109375" style="73" bestFit="1" customWidth="1"/>
    <col min="5380" max="5380" width="22.7109375" style="73" customWidth="1"/>
    <col min="5381" max="5381" width="3.7109375" style="73" customWidth="1"/>
    <col min="5382" max="5382" width="19.42578125" style="73" bestFit="1" customWidth="1"/>
    <col min="5383" max="5383" width="9.85546875" style="73" bestFit="1" customWidth="1"/>
    <col min="5384" max="5632" width="9.140625" style="73"/>
    <col min="5633" max="5633" width="59.42578125" style="73" bestFit="1" customWidth="1"/>
    <col min="5634" max="5634" width="22.7109375" style="73" customWidth="1"/>
    <col min="5635" max="5635" width="5.7109375" style="73" bestFit="1" customWidth="1"/>
    <col min="5636" max="5636" width="22.7109375" style="73" customWidth="1"/>
    <col min="5637" max="5637" width="3.7109375" style="73" customWidth="1"/>
    <col min="5638" max="5638" width="19.42578125" style="73" bestFit="1" customWidth="1"/>
    <col min="5639" max="5639" width="9.85546875" style="73" bestFit="1" customWidth="1"/>
    <col min="5640" max="5888" width="9.140625" style="73"/>
    <col min="5889" max="5889" width="59.42578125" style="73" bestFit="1" customWidth="1"/>
    <col min="5890" max="5890" width="22.7109375" style="73" customWidth="1"/>
    <col min="5891" max="5891" width="5.7109375" style="73" bestFit="1" customWidth="1"/>
    <col min="5892" max="5892" width="22.7109375" style="73" customWidth="1"/>
    <col min="5893" max="5893" width="3.7109375" style="73" customWidth="1"/>
    <col min="5894" max="5894" width="19.42578125" style="73" bestFit="1" customWidth="1"/>
    <col min="5895" max="5895" width="9.85546875" style="73" bestFit="1" customWidth="1"/>
    <col min="5896" max="6144" width="9.140625" style="73"/>
    <col min="6145" max="6145" width="59.42578125" style="73" bestFit="1" customWidth="1"/>
    <col min="6146" max="6146" width="22.7109375" style="73" customWidth="1"/>
    <col min="6147" max="6147" width="5.7109375" style="73" bestFit="1" customWidth="1"/>
    <col min="6148" max="6148" width="22.7109375" style="73" customWidth="1"/>
    <col min="6149" max="6149" width="3.7109375" style="73" customWidth="1"/>
    <col min="6150" max="6150" width="19.42578125" style="73" bestFit="1" customWidth="1"/>
    <col min="6151" max="6151" width="9.85546875" style="73" bestFit="1" customWidth="1"/>
    <col min="6152" max="6400" width="9.140625" style="73"/>
    <col min="6401" max="6401" width="59.42578125" style="73" bestFit="1" customWidth="1"/>
    <col min="6402" max="6402" width="22.7109375" style="73" customWidth="1"/>
    <col min="6403" max="6403" width="5.7109375" style="73" bestFit="1" customWidth="1"/>
    <col min="6404" max="6404" width="22.7109375" style="73" customWidth="1"/>
    <col min="6405" max="6405" width="3.7109375" style="73" customWidth="1"/>
    <col min="6406" max="6406" width="19.42578125" style="73" bestFit="1" customWidth="1"/>
    <col min="6407" max="6407" width="9.85546875" style="73" bestFit="1" customWidth="1"/>
    <col min="6408" max="6656" width="9.140625" style="73"/>
    <col min="6657" max="6657" width="59.42578125" style="73" bestFit="1" customWidth="1"/>
    <col min="6658" max="6658" width="22.7109375" style="73" customWidth="1"/>
    <col min="6659" max="6659" width="5.7109375" style="73" bestFit="1" customWidth="1"/>
    <col min="6660" max="6660" width="22.7109375" style="73" customWidth="1"/>
    <col min="6661" max="6661" width="3.7109375" style="73" customWidth="1"/>
    <col min="6662" max="6662" width="19.42578125" style="73" bestFit="1" customWidth="1"/>
    <col min="6663" max="6663" width="9.85546875" style="73" bestFit="1" customWidth="1"/>
    <col min="6664" max="6912" width="9.140625" style="73"/>
    <col min="6913" max="6913" width="59.42578125" style="73" bestFit="1" customWidth="1"/>
    <col min="6914" max="6914" width="22.7109375" style="73" customWidth="1"/>
    <col min="6915" max="6915" width="5.7109375" style="73" bestFit="1" customWidth="1"/>
    <col min="6916" max="6916" width="22.7109375" style="73" customWidth="1"/>
    <col min="6917" max="6917" width="3.7109375" style="73" customWidth="1"/>
    <col min="6918" max="6918" width="19.42578125" style="73" bestFit="1" customWidth="1"/>
    <col min="6919" max="6919" width="9.85546875" style="73" bestFit="1" customWidth="1"/>
    <col min="6920" max="7168" width="9.140625" style="73"/>
    <col min="7169" max="7169" width="59.42578125" style="73" bestFit="1" customWidth="1"/>
    <col min="7170" max="7170" width="22.7109375" style="73" customWidth="1"/>
    <col min="7171" max="7171" width="5.7109375" style="73" bestFit="1" customWidth="1"/>
    <col min="7172" max="7172" width="22.7109375" style="73" customWidth="1"/>
    <col min="7173" max="7173" width="3.7109375" style="73" customWidth="1"/>
    <col min="7174" max="7174" width="19.42578125" style="73" bestFit="1" customWidth="1"/>
    <col min="7175" max="7175" width="9.85546875" style="73" bestFit="1" customWidth="1"/>
    <col min="7176" max="7424" width="9.140625" style="73"/>
    <col min="7425" max="7425" width="59.42578125" style="73" bestFit="1" customWidth="1"/>
    <col min="7426" max="7426" width="22.7109375" style="73" customWidth="1"/>
    <col min="7427" max="7427" width="5.7109375" style="73" bestFit="1" customWidth="1"/>
    <col min="7428" max="7428" width="22.7109375" style="73" customWidth="1"/>
    <col min="7429" max="7429" width="3.7109375" style="73" customWidth="1"/>
    <col min="7430" max="7430" width="19.42578125" style="73" bestFit="1" customWidth="1"/>
    <col min="7431" max="7431" width="9.85546875" style="73" bestFit="1" customWidth="1"/>
    <col min="7432" max="7680" width="9.140625" style="73"/>
    <col min="7681" max="7681" width="59.42578125" style="73" bestFit="1" customWidth="1"/>
    <col min="7682" max="7682" width="22.7109375" style="73" customWidth="1"/>
    <col min="7683" max="7683" width="5.7109375" style="73" bestFit="1" customWidth="1"/>
    <col min="7684" max="7684" width="22.7109375" style="73" customWidth="1"/>
    <col min="7685" max="7685" width="3.7109375" style="73" customWidth="1"/>
    <col min="7686" max="7686" width="19.42578125" style="73" bestFit="1" customWidth="1"/>
    <col min="7687" max="7687" width="9.85546875" style="73" bestFit="1" customWidth="1"/>
    <col min="7688" max="7936" width="9.140625" style="73"/>
    <col min="7937" max="7937" width="59.42578125" style="73" bestFit="1" customWidth="1"/>
    <col min="7938" max="7938" width="22.7109375" style="73" customWidth="1"/>
    <col min="7939" max="7939" width="5.7109375" style="73" bestFit="1" customWidth="1"/>
    <col min="7940" max="7940" width="22.7109375" style="73" customWidth="1"/>
    <col min="7941" max="7941" width="3.7109375" style="73" customWidth="1"/>
    <col min="7942" max="7942" width="19.42578125" style="73" bestFit="1" customWidth="1"/>
    <col min="7943" max="7943" width="9.85546875" style="73" bestFit="1" customWidth="1"/>
    <col min="7944" max="8192" width="9.140625" style="73"/>
    <col min="8193" max="8193" width="59.42578125" style="73" bestFit="1" customWidth="1"/>
    <col min="8194" max="8194" width="22.7109375" style="73" customWidth="1"/>
    <col min="8195" max="8195" width="5.7109375" style="73" bestFit="1" customWidth="1"/>
    <col min="8196" max="8196" width="22.7109375" style="73" customWidth="1"/>
    <col min="8197" max="8197" width="3.7109375" style="73" customWidth="1"/>
    <col min="8198" max="8198" width="19.42578125" style="73" bestFit="1" customWidth="1"/>
    <col min="8199" max="8199" width="9.85546875" style="73" bestFit="1" customWidth="1"/>
    <col min="8200" max="8448" width="9.140625" style="73"/>
    <col min="8449" max="8449" width="59.42578125" style="73" bestFit="1" customWidth="1"/>
    <col min="8450" max="8450" width="22.7109375" style="73" customWidth="1"/>
    <col min="8451" max="8451" width="5.7109375" style="73" bestFit="1" customWidth="1"/>
    <col min="8452" max="8452" width="22.7109375" style="73" customWidth="1"/>
    <col min="8453" max="8453" width="3.7109375" style="73" customWidth="1"/>
    <col min="8454" max="8454" width="19.42578125" style="73" bestFit="1" customWidth="1"/>
    <col min="8455" max="8455" width="9.85546875" style="73" bestFit="1" customWidth="1"/>
    <col min="8456" max="8704" width="9.140625" style="73"/>
    <col min="8705" max="8705" width="59.42578125" style="73" bestFit="1" customWidth="1"/>
    <col min="8706" max="8706" width="22.7109375" style="73" customWidth="1"/>
    <col min="8707" max="8707" width="5.7109375" style="73" bestFit="1" customWidth="1"/>
    <col min="8708" max="8708" width="22.7109375" style="73" customWidth="1"/>
    <col min="8709" max="8709" width="3.7109375" style="73" customWidth="1"/>
    <col min="8710" max="8710" width="19.42578125" style="73" bestFit="1" customWidth="1"/>
    <col min="8711" max="8711" width="9.85546875" style="73" bestFit="1" customWidth="1"/>
    <col min="8712" max="8960" width="9.140625" style="73"/>
    <col min="8961" max="8961" width="59.42578125" style="73" bestFit="1" customWidth="1"/>
    <col min="8962" max="8962" width="22.7109375" style="73" customWidth="1"/>
    <col min="8963" max="8963" width="5.7109375" style="73" bestFit="1" customWidth="1"/>
    <col min="8964" max="8964" width="22.7109375" style="73" customWidth="1"/>
    <col min="8965" max="8965" width="3.7109375" style="73" customWidth="1"/>
    <col min="8966" max="8966" width="19.42578125" style="73" bestFit="1" customWidth="1"/>
    <col min="8967" max="8967" width="9.85546875" style="73" bestFit="1" customWidth="1"/>
    <col min="8968" max="9216" width="9.140625" style="73"/>
    <col min="9217" max="9217" width="59.42578125" style="73" bestFit="1" customWidth="1"/>
    <col min="9218" max="9218" width="22.7109375" style="73" customWidth="1"/>
    <col min="9219" max="9219" width="5.7109375" style="73" bestFit="1" customWidth="1"/>
    <col min="9220" max="9220" width="22.7109375" style="73" customWidth="1"/>
    <col min="9221" max="9221" width="3.7109375" style="73" customWidth="1"/>
    <col min="9222" max="9222" width="19.42578125" style="73" bestFit="1" customWidth="1"/>
    <col min="9223" max="9223" width="9.85546875" style="73" bestFit="1" customWidth="1"/>
    <col min="9224" max="9472" width="9.140625" style="73"/>
    <col min="9473" max="9473" width="59.42578125" style="73" bestFit="1" customWidth="1"/>
    <col min="9474" max="9474" width="22.7109375" style="73" customWidth="1"/>
    <col min="9475" max="9475" width="5.7109375" style="73" bestFit="1" customWidth="1"/>
    <col min="9476" max="9476" width="22.7109375" style="73" customWidth="1"/>
    <col min="9477" max="9477" width="3.7109375" style="73" customWidth="1"/>
    <col min="9478" max="9478" width="19.42578125" style="73" bestFit="1" customWidth="1"/>
    <col min="9479" max="9479" width="9.85546875" style="73" bestFit="1" customWidth="1"/>
    <col min="9480" max="9728" width="9.140625" style="73"/>
    <col min="9729" max="9729" width="59.42578125" style="73" bestFit="1" customWidth="1"/>
    <col min="9730" max="9730" width="22.7109375" style="73" customWidth="1"/>
    <col min="9731" max="9731" width="5.7109375" style="73" bestFit="1" customWidth="1"/>
    <col min="9732" max="9732" width="22.7109375" style="73" customWidth="1"/>
    <col min="9733" max="9733" width="3.7109375" style="73" customWidth="1"/>
    <col min="9734" max="9734" width="19.42578125" style="73" bestFit="1" customWidth="1"/>
    <col min="9735" max="9735" width="9.85546875" style="73" bestFit="1" customWidth="1"/>
    <col min="9736" max="9984" width="9.140625" style="73"/>
    <col min="9985" max="9985" width="59.42578125" style="73" bestFit="1" customWidth="1"/>
    <col min="9986" max="9986" width="22.7109375" style="73" customWidth="1"/>
    <col min="9987" max="9987" width="5.7109375" style="73" bestFit="1" customWidth="1"/>
    <col min="9988" max="9988" width="22.7109375" style="73" customWidth="1"/>
    <col min="9989" max="9989" width="3.7109375" style="73" customWidth="1"/>
    <col min="9990" max="9990" width="19.42578125" style="73" bestFit="1" customWidth="1"/>
    <col min="9991" max="9991" width="9.85546875" style="73" bestFit="1" customWidth="1"/>
    <col min="9992" max="10240" width="9.140625" style="73"/>
    <col min="10241" max="10241" width="59.42578125" style="73" bestFit="1" customWidth="1"/>
    <col min="10242" max="10242" width="22.7109375" style="73" customWidth="1"/>
    <col min="10243" max="10243" width="5.7109375" style="73" bestFit="1" customWidth="1"/>
    <col min="10244" max="10244" width="22.7109375" style="73" customWidth="1"/>
    <col min="10245" max="10245" width="3.7109375" style="73" customWidth="1"/>
    <col min="10246" max="10246" width="19.42578125" style="73" bestFit="1" customWidth="1"/>
    <col min="10247" max="10247" width="9.85546875" style="73" bestFit="1" customWidth="1"/>
    <col min="10248" max="10496" width="9.140625" style="73"/>
    <col min="10497" max="10497" width="59.42578125" style="73" bestFit="1" customWidth="1"/>
    <col min="10498" max="10498" width="22.7109375" style="73" customWidth="1"/>
    <col min="10499" max="10499" width="5.7109375" style="73" bestFit="1" customWidth="1"/>
    <col min="10500" max="10500" width="22.7109375" style="73" customWidth="1"/>
    <col min="10501" max="10501" width="3.7109375" style="73" customWidth="1"/>
    <col min="10502" max="10502" width="19.42578125" style="73" bestFit="1" customWidth="1"/>
    <col min="10503" max="10503" width="9.85546875" style="73" bestFit="1" customWidth="1"/>
    <col min="10504" max="10752" width="9.140625" style="73"/>
    <col min="10753" max="10753" width="59.42578125" style="73" bestFit="1" customWidth="1"/>
    <col min="10754" max="10754" width="22.7109375" style="73" customWidth="1"/>
    <col min="10755" max="10755" width="5.7109375" style="73" bestFit="1" customWidth="1"/>
    <col min="10756" max="10756" width="22.7109375" style="73" customWidth="1"/>
    <col min="10757" max="10757" width="3.7109375" style="73" customWidth="1"/>
    <col min="10758" max="10758" width="19.42578125" style="73" bestFit="1" customWidth="1"/>
    <col min="10759" max="10759" width="9.85546875" style="73" bestFit="1" customWidth="1"/>
    <col min="10760" max="11008" width="9.140625" style="73"/>
    <col min="11009" max="11009" width="59.42578125" style="73" bestFit="1" customWidth="1"/>
    <col min="11010" max="11010" width="22.7109375" style="73" customWidth="1"/>
    <col min="11011" max="11011" width="5.7109375" style="73" bestFit="1" customWidth="1"/>
    <col min="11012" max="11012" width="22.7109375" style="73" customWidth="1"/>
    <col min="11013" max="11013" width="3.7109375" style="73" customWidth="1"/>
    <col min="11014" max="11014" width="19.42578125" style="73" bestFit="1" customWidth="1"/>
    <col min="11015" max="11015" width="9.85546875" style="73" bestFit="1" customWidth="1"/>
    <col min="11016" max="11264" width="9.140625" style="73"/>
    <col min="11265" max="11265" width="59.42578125" style="73" bestFit="1" customWidth="1"/>
    <col min="11266" max="11266" width="22.7109375" style="73" customWidth="1"/>
    <col min="11267" max="11267" width="5.7109375" style="73" bestFit="1" customWidth="1"/>
    <col min="11268" max="11268" width="22.7109375" style="73" customWidth="1"/>
    <col min="11269" max="11269" width="3.7109375" style="73" customWidth="1"/>
    <col min="11270" max="11270" width="19.42578125" style="73" bestFit="1" customWidth="1"/>
    <col min="11271" max="11271" width="9.85546875" style="73" bestFit="1" customWidth="1"/>
    <col min="11272" max="11520" width="9.140625" style="73"/>
    <col min="11521" max="11521" width="59.42578125" style="73" bestFit="1" customWidth="1"/>
    <col min="11522" max="11522" width="22.7109375" style="73" customWidth="1"/>
    <col min="11523" max="11523" width="5.7109375" style="73" bestFit="1" customWidth="1"/>
    <col min="11524" max="11524" width="22.7109375" style="73" customWidth="1"/>
    <col min="11525" max="11525" width="3.7109375" style="73" customWidth="1"/>
    <col min="11526" max="11526" width="19.42578125" style="73" bestFit="1" customWidth="1"/>
    <col min="11527" max="11527" width="9.85546875" style="73" bestFit="1" customWidth="1"/>
    <col min="11528" max="11776" width="9.140625" style="73"/>
    <col min="11777" max="11777" width="59.42578125" style="73" bestFit="1" customWidth="1"/>
    <col min="11778" max="11778" width="22.7109375" style="73" customWidth="1"/>
    <col min="11779" max="11779" width="5.7109375" style="73" bestFit="1" customWidth="1"/>
    <col min="11780" max="11780" width="22.7109375" style="73" customWidth="1"/>
    <col min="11781" max="11781" width="3.7109375" style="73" customWidth="1"/>
    <col min="11782" max="11782" width="19.42578125" style="73" bestFit="1" customWidth="1"/>
    <col min="11783" max="11783" width="9.85546875" style="73" bestFit="1" customWidth="1"/>
    <col min="11784" max="12032" width="9.140625" style="73"/>
    <col min="12033" max="12033" width="59.42578125" style="73" bestFit="1" customWidth="1"/>
    <col min="12034" max="12034" width="22.7109375" style="73" customWidth="1"/>
    <col min="12035" max="12035" width="5.7109375" style="73" bestFit="1" customWidth="1"/>
    <col min="12036" max="12036" width="22.7109375" style="73" customWidth="1"/>
    <col min="12037" max="12037" width="3.7109375" style="73" customWidth="1"/>
    <col min="12038" max="12038" width="19.42578125" style="73" bestFit="1" customWidth="1"/>
    <col min="12039" max="12039" width="9.85546875" style="73" bestFit="1" customWidth="1"/>
    <col min="12040" max="12288" width="9.140625" style="73"/>
    <col min="12289" max="12289" width="59.42578125" style="73" bestFit="1" customWidth="1"/>
    <col min="12290" max="12290" width="22.7109375" style="73" customWidth="1"/>
    <col min="12291" max="12291" width="5.7109375" style="73" bestFit="1" customWidth="1"/>
    <col min="12292" max="12292" width="22.7109375" style="73" customWidth="1"/>
    <col min="12293" max="12293" width="3.7109375" style="73" customWidth="1"/>
    <col min="12294" max="12294" width="19.42578125" style="73" bestFit="1" customWidth="1"/>
    <col min="12295" max="12295" width="9.85546875" style="73" bestFit="1" customWidth="1"/>
    <col min="12296" max="12544" width="9.140625" style="73"/>
    <col min="12545" max="12545" width="59.42578125" style="73" bestFit="1" customWidth="1"/>
    <col min="12546" max="12546" width="22.7109375" style="73" customWidth="1"/>
    <col min="12547" max="12547" width="5.7109375" style="73" bestFit="1" customWidth="1"/>
    <col min="12548" max="12548" width="22.7109375" style="73" customWidth="1"/>
    <col min="12549" max="12549" width="3.7109375" style="73" customWidth="1"/>
    <col min="12550" max="12550" width="19.42578125" style="73" bestFit="1" customWidth="1"/>
    <col min="12551" max="12551" width="9.85546875" style="73" bestFit="1" customWidth="1"/>
    <col min="12552" max="12800" width="9.140625" style="73"/>
    <col min="12801" max="12801" width="59.42578125" style="73" bestFit="1" customWidth="1"/>
    <col min="12802" max="12802" width="22.7109375" style="73" customWidth="1"/>
    <col min="12803" max="12803" width="5.7109375" style="73" bestFit="1" customWidth="1"/>
    <col min="12804" max="12804" width="22.7109375" style="73" customWidth="1"/>
    <col min="12805" max="12805" width="3.7109375" style="73" customWidth="1"/>
    <col min="12806" max="12806" width="19.42578125" style="73" bestFit="1" customWidth="1"/>
    <col min="12807" max="12807" width="9.85546875" style="73" bestFit="1" customWidth="1"/>
    <col min="12808" max="13056" width="9.140625" style="73"/>
    <col min="13057" max="13057" width="59.42578125" style="73" bestFit="1" customWidth="1"/>
    <col min="13058" max="13058" width="22.7109375" style="73" customWidth="1"/>
    <col min="13059" max="13059" width="5.7109375" style="73" bestFit="1" customWidth="1"/>
    <col min="13060" max="13060" width="22.7109375" style="73" customWidth="1"/>
    <col min="13061" max="13061" width="3.7109375" style="73" customWidth="1"/>
    <col min="13062" max="13062" width="19.42578125" style="73" bestFit="1" customWidth="1"/>
    <col min="13063" max="13063" width="9.85546875" style="73" bestFit="1" customWidth="1"/>
    <col min="13064" max="13312" width="9.140625" style="73"/>
    <col min="13313" max="13313" width="59.42578125" style="73" bestFit="1" customWidth="1"/>
    <col min="13314" max="13314" width="22.7109375" style="73" customWidth="1"/>
    <col min="13315" max="13315" width="5.7109375" style="73" bestFit="1" customWidth="1"/>
    <col min="13316" max="13316" width="22.7109375" style="73" customWidth="1"/>
    <col min="13317" max="13317" width="3.7109375" style="73" customWidth="1"/>
    <col min="13318" max="13318" width="19.42578125" style="73" bestFit="1" customWidth="1"/>
    <col min="13319" max="13319" width="9.85546875" style="73" bestFit="1" customWidth="1"/>
    <col min="13320" max="13568" width="9.140625" style="73"/>
    <col min="13569" max="13569" width="59.42578125" style="73" bestFit="1" customWidth="1"/>
    <col min="13570" max="13570" width="22.7109375" style="73" customWidth="1"/>
    <col min="13571" max="13571" width="5.7109375" style="73" bestFit="1" customWidth="1"/>
    <col min="13572" max="13572" width="22.7109375" style="73" customWidth="1"/>
    <col min="13573" max="13573" width="3.7109375" style="73" customWidth="1"/>
    <col min="13574" max="13574" width="19.42578125" style="73" bestFit="1" customWidth="1"/>
    <col min="13575" max="13575" width="9.85546875" style="73" bestFit="1" customWidth="1"/>
    <col min="13576" max="13824" width="9.140625" style="73"/>
    <col min="13825" max="13825" width="59.42578125" style="73" bestFit="1" customWidth="1"/>
    <col min="13826" max="13826" width="22.7109375" style="73" customWidth="1"/>
    <col min="13827" max="13827" width="5.7109375" style="73" bestFit="1" customWidth="1"/>
    <col min="13828" max="13828" width="22.7109375" style="73" customWidth="1"/>
    <col min="13829" max="13829" width="3.7109375" style="73" customWidth="1"/>
    <col min="13830" max="13830" width="19.42578125" style="73" bestFit="1" customWidth="1"/>
    <col min="13831" max="13831" width="9.85546875" style="73" bestFit="1" customWidth="1"/>
    <col min="13832" max="14080" width="9.140625" style="73"/>
    <col min="14081" max="14081" width="59.42578125" style="73" bestFit="1" customWidth="1"/>
    <col min="14082" max="14082" width="22.7109375" style="73" customWidth="1"/>
    <col min="14083" max="14083" width="5.7109375" style="73" bestFit="1" customWidth="1"/>
    <col min="14084" max="14084" width="22.7109375" style="73" customWidth="1"/>
    <col min="14085" max="14085" width="3.7109375" style="73" customWidth="1"/>
    <col min="14086" max="14086" width="19.42578125" style="73" bestFit="1" customWidth="1"/>
    <col min="14087" max="14087" width="9.85546875" style="73" bestFit="1" customWidth="1"/>
    <col min="14088" max="14336" width="9.140625" style="73"/>
    <col min="14337" max="14337" width="59.42578125" style="73" bestFit="1" customWidth="1"/>
    <col min="14338" max="14338" width="22.7109375" style="73" customWidth="1"/>
    <col min="14339" max="14339" width="5.7109375" style="73" bestFit="1" customWidth="1"/>
    <col min="14340" max="14340" width="22.7109375" style="73" customWidth="1"/>
    <col min="14341" max="14341" width="3.7109375" style="73" customWidth="1"/>
    <col min="14342" max="14342" width="19.42578125" style="73" bestFit="1" customWidth="1"/>
    <col min="14343" max="14343" width="9.85546875" style="73" bestFit="1" customWidth="1"/>
    <col min="14344" max="14592" width="9.140625" style="73"/>
    <col min="14593" max="14593" width="59.42578125" style="73" bestFit="1" customWidth="1"/>
    <col min="14594" max="14594" width="22.7109375" style="73" customWidth="1"/>
    <col min="14595" max="14595" width="5.7109375" style="73" bestFit="1" customWidth="1"/>
    <col min="14596" max="14596" width="22.7109375" style="73" customWidth="1"/>
    <col min="14597" max="14597" width="3.7109375" style="73" customWidth="1"/>
    <col min="14598" max="14598" width="19.42578125" style="73" bestFit="1" customWidth="1"/>
    <col min="14599" max="14599" width="9.85546875" style="73" bestFit="1" customWidth="1"/>
    <col min="14600" max="14848" width="9.140625" style="73"/>
    <col min="14849" max="14849" width="59.42578125" style="73" bestFit="1" customWidth="1"/>
    <col min="14850" max="14850" width="22.7109375" style="73" customWidth="1"/>
    <col min="14851" max="14851" width="5.7109375" style="73" bestFit="1" customWidth="1"/>
    <col min="14852" max="14852" width="22.7109375" style="73" customWidth="1"/>
    <col min="14853" max="14853" width="3.7109375" style="73" customWidth="1"/>
    <col min="14854" max="14854" width="19.42578125" style="73" bestFit="1" customWidth="1"/>
    <col min="14855" max="14855" width="9.85546875" style="73" bestFit="1" customWidth="1"/>
    <col min="14856" max="15104" width="9.140625" style="73"/>
    <col min="15105" max="15105" width="59.42578125" style="73" bestFit="1" customWidth="1"/>
    <col min="15106" max="15106" width="22.7109375" style="73" customWidth="1"/>
    <col min="15107" max="15107" width="5.7109375" style="73" bestFit="1" customWidth="1"/>
    <col min="15108" max="15108" width="22.7109375" style="73" customWidth="1"/>
    <col min="15109" max="15109" width="3.7109375" style="73" customWidth="1"/>
    <col min="15110" max="15110" width="19.42578125" style="73" bestFit="1" customWidth="1"/>
    <col min="15111" max="15111" width="9.85546875" style="73" bestFit="1" customWidth="1"/>
    <col min="15112" max="15360" width="9.140625" style="73"/>
    <col min="15361" max="15361" width="59.42578125" style="73" bestFit="1" customWidth="1"/>
    <col min="15362" max="15362" width="22.7109375" style="73" customWidth="1"/>
    <col min="15363" max="15363" width="5.7109375" style="73" bestFit="1" customWidth="1"/>
    <col min="15364" max="15364" width="22.7109375" style="73" customWidth="1"/>
    <col min="15365" max="15365" width="3.7109375" style="73" customWidth="1"/>
    <col min="15366" max="15366" width="19.42578125" style="73" bestFit="1" customWidth="1"/>
    <col min="15367" max="15367" width="9.85546875" style="73" bestFit="1" customWidth="1"/>
    <col min="15368" max="15616" width="9.140625" style="73"/>
    <col min="15617" max="15617" width="59.42578125" style="73" bestFit="1" customWidth="1"/>
    <col min="15618" max="15618" width="22.7109375" style="73" customWidth="1"/>
    <col min="15619" max="15619" width="5.7109375" style="73" bestFit="1" customWidth="1"/>
    <col min="15620" max="15620" width="22.7109375" style="73" customWidth="1"/>
    <col min="15621" max="15621" width="3.7109375" style="73" customWidth="1"/>
    <col min="15622" max="15622" width="19.42578125" style="73" bestFit="1" customWidth="1"/>
    <col min="15623" max="15623" width="9.85546875" style="73" bestFit="1" customWidth="1"/>
    <col min="15624" max="15872" width="9.140625" style="73"/>
    <col min="15873" max="15873" width="59.42578125" style="73" bestFit="1" customWidth="1"/>
    <col min="15874" max="15874" width="22.7109375" style="73" customWidth="1"/>
    <col min="15875" max="15875" width="5.7109375" style="73" bestFit="1" customWidth="1"/>
    <col min="15876" max="15876" width="22.7109375" style="73" customWidth="1"/>
    <col min="15877" max="15877" width="3.7109375" style="73" customWidth="1"/>
    <col min="15878" max="15878" width="19.42578125" style="73" bestFit="1" customWidth="1"/>
    <col min="15879" max="15879" width="9.85546875" style="73" bestFit="1" customWidth="1"/>
    <col min="15880" max="16128" width="9.140625" style="73"/>
    <col min="16129" max="16129" width="59.42578125" style="73" bestFit="1" customWidth="1"/>
    <col min="16130" max="16130" width="22.7109375" style="73" customWidth="1"/>
    <col min="16131" max="16131" width="5.7109375" style="73" bestFit="1" customWidth="1"/>
    <col min="16132" max="16132" width="22.7109375" style="73" customWidth="1"/>
    <col min="16133" max="16133" width="3.7109375" style="73" customWidth="1"/>
    <col min="16134" max="16134" width="19.42578125" style="73" bestFit="1" customWidth="1"/>
    <col min="16135" max="16135" width="9.85546875" style="73" bestFit="1" customWidth="1"/>
    <col min="16136" max="16384" width="9.140625" style="73"/>
  </cols>
  <sheetData>
    <row r="1" spans="1:9" customFormat="1" ht="15.75" x14ac:dyDescent="0.25">
      <c r="A1" s="53" t="s">
        <v>42</v>
      </c>
      <c r="B1" s="55"/>
      <c r="C1" s="53"/>
      <c r="D1" s="55"/>
      <c r="E1" s="53"/>
      <c r="F1" s="54"/>
      <c r="G1" s="53"/>
    </row>
    <row r="2" spans="1:9" customFormat="1" x14ac:dyDescent="0.2">
      <c r="A2" s="52" t="s">
        <v>18</v>
      </c>
      <c r="B2" s="51"/>
      <c r="C2" s="48"/>
      <c r="D2" s="50"/>
      <c r="E2" s="48"/>
      <c r="F2" s="49"/>
      <c r="G2" s="48"/>
    </row>
    <row r="3" spans="1:9" customFormat="1" x14ac:dyDescent="0.2">
      <c r="A3" s="52" t="s">
        <v>17</v>
      </c>
      <c r="B3" s="51"/>
      <c r="C3" s="48"/>
      <c r="D3" s="50"/>
      <c r="E3" s="48"/>
      <c r="F3" s="49"/>
      <c r="G3" s="48"/>
    </row>
    <row r="4" spans="1:9" customFormat="1" x14ac:dyDescent="0.2">
      <c r="A4" s="117" t="s">
        <v>106</v>
      </c>
      <c r="B4" s="45"/>
      <c r="C4" s="42"/>
      <c r="D4" s="44"/>
      <c r="E4" s="42"/>
      <c r="F4" s="43"/>
      <c r="G4" s="42"/>
    </row>
    <row r="5" spans="1:9" customFormat="1" ht="12.75" x14ac:dyDescent="0.2">
      <c r="A5" s="46"/>
      <c r="B5" s="45"/>
      <c r="C5" s="42"/>
      <c r="D5" s="44"/>
      <c r="E5" s="42"/>
      <c r="F5" s="43"/>
      <c r="G5" s="42"/>
    </row>
    <row r="7" spans="1:9" s="87" customFormat="1" ht="15.75" x14ac:dyDescent="0.25">
      <c r="A7" s="95" t="str">
        <f>"Revenue Retained - "&amp;A4</f>
        <v>Revenue Retained - August 1, 2013 Through July 31, 2014</v>
      </c>
      <c r="B7" s="94"/>
      <c r="C7" s="93"/>
      <c r="D7" s="94"/>
      <c r="E7" s="93"/>
      <c r="F7" s="93"/>
      <c r="G7" s="92"/>
      <c r="I7" s="104"/>
    </row>
    <row r="8" spans="1:9" s="87" customFormat="1" ht="12.75" x14ac:dyDescent="0.2">
      <c r="B8" s="99"/>
      <c r="D8" s="99"/>
      <c r="G8" s="78"/>
      <c r="I8" s="88"/>
    </row>
    <row r="9" spans="1:9" s="87" customFormat="1" ht="13.5" thickBot="1" x14ac:dyDescent="0.25">
      <c r="B9" s="215" t="s">
        <v>14</v>
      </c>
      <c r="C9" s="1"/>
      <c r="D9" s="216" t="str">
        <f>TEXT(D14/$B$14,"00.0%")&amp; " Passed Back"</f>
        <v>50.8% Passed Back</v>
      </c>
      <c r="E9" s="1"/>
      <c r="F9" s="217" t="str">
        <f>TEXT(F14/$B$14,"00.0%")&amp; " Retained"</f>
        <v>49.2% Retained</v>
      </c>
      <c r="I9" s="103"/>
    </row>
    <row r="10" spans="1:9" s="87" customFormat="1" ht="12.75" x14ac:dyDescent="0.2">
      <c r="A10" s="87" t="s">
        <v>13</v>
      </c>
      <c r="B10" s="36">
        <f>12*16885*1.447</f>
        <v>293191.14</v>
      </c>
      <c r="C10" s="1"/>
      <c r="D10" s="3">
        <v>148073</v>
      </c>
      <c r="E10" s="1"/>
      <c r="F10" s="3">
        <f>B10-D10</f>
        <v>145118.14000000001</v>
      </c>
      <c r="I10" s="102"/>
    </row>
    <row r="11" spans="1:9" s="87" customFormat="1" ht="12.75" x14ac:dyDescent="0.2">
      <c r="B11" s="36"/>
      <c r="C11" s="1"/>
      <c r="D11" s="3"/>
      <c r="E11" s="1"/>
      <c r="F11" s="3"/>
      <c r="I11" s="102"/>
    </row>
    <row r="12" spans="1:9" s="87" customFormat="1" ht="12.75" x14ac:dyDescent="0.2">
      <c r="A12" s="87" t="s">
        <v>12</v>
      </c>
      <c r="B12" s="36">
        <f>12*7900*0.604</f>
        <v>57259.199999999997</v>
      </c>
      <c r="C12" s="1"/>
      <c r="D12" s="3">
        <v>29934.17</v>
      </c>
      <c r="E12" s="1"/>
      <c r="F12" s="3">
        <f>B12-D12</f>
        <v>27325.03</v>
      </c>
      <c r="I12" s="102"/>
    </row>
    <row r="13" spans="1:9" s="87" customFormat="1" ht="12.75" x14ac:dyDescent="0.2">
      <c r="B13" s="3"/>
      <c r="C13" s="1"/>
      <c r="D13" s="3"/>
      <c r="E13" s="1"/>
      <c r="F13" s="35"/>
      <c r="I13" s="102"/>
    </row>
    <row r="14" spans="1:9" s="87" customFormat="1" ht="13.5" thickBot="1" x14ac:dyDescent="0.25">
      <c r="A14" s="101" t="s">
        <v>11</v>
      </c>
      <c r="B14" s="11">
        <f>SUM(B10:B13)</f>
        <v>350450.34</v>
      </c>
      <c r="C14" s="1"/>
      <c r="D14" s="11">
        <f>SUM(D10:D13)</f>
        <v>178007.16999999998</v>
      </c>
      <c r="E14" s="32"/>
      <c r="F14" s="11">
        <f>SUM(F10:F13)</f>
        <v>172443.17</v>
      </c>
      <c r="I14" s="100"/>
    </row>
    <row r="15" spans="1:9" s="87" customFormat="1" ht="12.75" x14ac:dyDescent="0.2">
      <c r="B15" s="99"/>
      <c r="D15" s="99"/>
      <c r="F15" s="78"/>
      <c r="I15" s="88"/>
    </row>
    <row r="16" spans="1:9" s="87" customFormat="1" ht="12.75" x14ac:dyDescent="0.2">
      <c r="A16" s="97"/>
      <c r="B16" s="98"/>
      <c r="C16" s="97"/>
      <c r="D16" s="98"/>
      <c r="E16" s="97"/>
      <c r="F16" s="97"/>
      <c r="G16" s="96"/>
      <c r="I16" s="88"/>
    </row>
    <row r="17" spans="1:9" s="87" customFormat="1" ht="15.75" x14ac:dyDescent="0.25">
      <c r="A17" s="95" t="str">
        <f>"Program Costs - "&amp;A4</f>
        <v>Program Costs - August 1, 2013 Through July 31, 2014</v>
      </c>
      <c r="B17" s="94"/>
      <c r="C17" s="93"/>
      <c r="D17" s="94"/>
      <c r="E17" s="93"/>
      <c r="F17" s="93"/>
      <c r="G17" s="92"/>
      <c r="I17" s="88"/>
    </row>
    <row r="18" spans="1:9" s="124" customFormat="1" ht="15.75" x14ac:dyDescent="0.25">
      <c r="A18" s="122"/>
      <c r="B18" s="123"/>
      <c r="C18" s="88"/>
      <c r="D18" s="123"/>
      <c r="E18" s="88"/>
      <c r="F18" s="88"/>
      <c r="G18" s="102"/>
      <c r="I18" s="88"/>
    </row>
    <row r="19" spans="1:9" x14ac:dyDescent="0.25">
      <c r="A19" s="83" t="s">
        <v>61</v>
      </c>
      <c r="B19" s="91"/>
      <c r="C19" s="80"/>
      <c r="D19" s="80"/>
      <c r="E19" s="80"/>
      <c r="F19" s="80"/>
      <c r="H19" s="172"/>
    </row>
    <row r="20" spans="1:9" s="87" customFormat="1" x14ac:dyDescent="0.25">
      <c r="A20" s="17" t="s">
        <v>40</v>
      </c>
      <c r="B20" s="84">
        <f>90000*0.3</f>
        <v>27000</v>
      </c>
      <c r="C20" s="89"/>
      <c r="D20" s="90"/>
      <c r="E20" s="89"/>
      <c r="F20" s="84"/>
      <c r="H20" s="172"/>
    </row>
    <row r="21" spans="1:9" x14ac:dyDescent="0.25">
      <c r="A21" s="17" t="s">
        <v>134</v>
      </c>
      <c r="B21" s="84">
        <v>10000</v>
      </c>
      <c r="C21" s="80"/>
      <c r="D21" s="86"/>
      <c r="F21" s="85"/>
      <c r="H21" s="172"/>
    </row>
    <row r="22" spans="1:9" x14ac:dyDescent="0.25">
      <c r="A22" s="17"/>
      <c r="B22" s="84"/>
      <c r="C22" s="80"/>
      <c r="D22" s="86"/>
      <c r="F22" s="85"/>
      <c r="H22" s="172"/>
    </row>
    <row r="23" spans="1:9" x14ac:dyDescent="0.25">
      <c r="A23" s="83" t="s">
        <v>63</v>
      </c>
      <c r="B23" s="84">
        <v>0</v>
      </c>
      <c r="C23" s="80"/>
      <c r="D23" s="86"/>
      <c r="F23" s="85"/>
      <c r="H23" s="172"/>
    </row>
    <row r="24" spans="1:9" x14ac:dyDescent="0.25">
      <c r="A24" s="83"/>
      <c r="B24" s="84"/>
      <c r="C24" s="80"/>
      <c r="D24" s="86"/>
      <c r="F24" s="85"/>
      <c r="H24" s="172"/>
    </row>
    <row r="25" spans="1:9" x14ac:dyDescent="0.25">
      <c r="A25" s="83" t="s">
        <v>62</v>
      </c>
      <c r="B25" s="84">
        <v>66000</v>
      </c>
      <c r="C25" s="80"/>
      <c r="D25" s="86"/>
      <c r="F25" s="85"/>
      <c r="H25" s="172"/>
    </row>
    <row r="26" spans="1:9" x14ac:dyDescent="0.25">
      <c r="A26" s="83"/>
      <c r="B26" s="84"/>
      <c r="C26" s="80"/>
      <c r="D26" s="86"/>
      <c r="F26" s="85"/>
    </row>
    <row r="27" spans="1:9" x14ac:dyDescent="0.25">
      <c r="A27" s="83" t="s">
        <v>64</v>
      </c>
      <c r="B27" s="84">
        <v>0</v>
      </c>
      <c r="C27" s="80"/>
      <c r="D27" s="86"/>
      <c r="F27" s="85"/>
      <c r="H27" s="172"/>
    </row>
    <row r="28" spans="1:9" x14ac:dyDescent="0.25">
      <c r="A28" s="83"/>
      <c r="B28" s="84"/>
      <c r="C28" s="80"/>
      <c r="D28" s="86"/>
      <c r="F28" s="85"/>
      <c r="H28" s="172"/>
    </row>
    <row r="29" spans="1:9" x14ac:dyDescent="0.25">
      <c r="A29" s="83" t="s">
        <v>65</v>
      </c>
      <c r="B29" s="84">
        <v>0</v>
      </c>
      <c r="C29" s="80"/>
      <c r="D29" s="86"/>
      <c r="F29" s="85"/>
      <c r="H29" s="172"/>
    </row>
    <row r="30" spans="1:9" x14ac:dyDescent="0.25">
      <c r="A30" s="83"/>
      <c r="B30" s="84"/>
      <c r="C30" s="80"/>
      <c r="D30" s="86"/>
      <c r="F30" s="85"/>
      <c r="H30" s="172"/>
    </row>
    <row r="31" spans="1:9" x14ac:dyDescent="0.25">
      <c r="A31" s="83" t="s">
        <v>66</v>
      </c>
      <c r="B31" s="84">
        <v>7500</v>
      </c>
      <c r="C31" s="80"/>
      <c r="D31" s="86"/>
      <c r="F31" s="85"/>
      <c r="H31" s="172"/>
    </row>
    <row r="32" spans="1:9" x14ac:dyDescent="0.25">
      <c r="A32" s="83"/>
      <c r="B32" s="84"/>
      <c r="C32" s="80"/>
      <c r="D32" s="86"/>
      <c r="F32" s="85"/>
      <c r="H32" s="172"/>
    </row>
    <row r="33" spans="1:8" x14ac:dyDescent="0.25">
      <c r="A33" s="83" t="s">
        <v>67</v>
      </c>
      <c r="B33" s="84">
        <v>54000</v>
      </c>
      <c r="C33" s="80"/>
      <c r="D33" s="86"/>
      <c r="F33" s="85"/>
      <c r="H33" s="172"/>
    </row>
    <row r="34" spans="1:8" x14ac:dyDescent="0.25">
      <c r="A34" s="83"/>
      <c r="B34" s="84"/>
      <c r="C34" s="80"/>
      <c r="D34" s="86"/>
      <c r="F34" s="85"/>
      <c r="H34" s="172"/>
    </row>
    <row r="35" spans="1:8" ht="15.75" thickBot="1" x14ac:dyDescent="0.3">
      <c r="A35" s="83" t="s">
        <v>35</v>
      </c>
      <c r="B35" s="82">
        <f>SUM(B19:B34)</f>
        <v>164500</v>
      </c>
      <c r="C35" s="80"/>
      <c r="D35" s="79"/>
      <c r="E35" s="79"/>
      <c r="H35" s="172"/>
    </row>
    <row r="36" spans="1:8" ht="15.75" thickTop="1" x14ac:dyDescent="0.25">
      <c r="A36" s="79"/>
      <c r="B36" s="81"/>
      <c r="C36" s="80"/>
      <c r="D36" s="79"/>
      <c r="E36" s="79"/>
      <c r="H36" s="172"/>
    </row>
    <row r="37" spans="1:8" x14ac:dyDescent="0.25">
      <c r="A37" s="106" t="s">
        <v>41</v>
      </c>
      <c r="B37" s="78">
        <f>B35*0.05</f>
        <v>8225</v>
      </c>
      <c r="C37" s="77">
        <v>0.05</v>
      </c>
      <c r="H37" s="172"/>
    </row>
    <row r="38" spans="1:8" x14ac:dyDescent="0.25">
      <c r="H38" s="172"/>
    </row>
    <row r="39" spans="1:8" ht="15.75" thickBot="1" x14ac:dyDescent="0.3">
      <c r="A39" s="83" t="s">
        <v>104</v>
      </c>
      <c r="B39" s="118">
        <f>B37+B35</f>
        <v>172725</v>
      </c>
      <c r="C39" s="77">
        <f>+B39/B14</f>
        <v>0.4928658365690271</v>
      </c>
      <c r="H39" s="172"/>
    </row>
    <row r="40" spans="1:8" ht="15.75" thickTop="1" x14ac:dyDescent="0.25">
      <c r="C40" s="107"/>
      <c r="H40" s="172"/>
    </row>
    <row r="41" spans="1:8" x14ac:dyDescent="0.25">
      <c r="A41" s="73" t="s">
        <v>34</v>
      </c>
      <c r="B41" s="75">
        <f>B14-B35-B37</f>
        <v>177725.34000000003</v>
      </c>
      <c r="C41" s="77">
        <f>+B41/B14</f>
        <v>0.50713416343097284</v>
      </c>
      <c r="H41" s="172"/>
    </row>
    <row r="42" spans="1:8" x14ac:dyDescent="0.25">
      <c r="H42" s="172"/>
    </row>
    <row r="43" spans="1:8" x14ac:dyDescent="0.25">
      <c r="A43" s="130" t="s">
        <v>74</v>
      </c>
      <c r="B43" s="75">
        <f>B37</f>
        <v>8225</v>
      </c>
      <c r="C43" s="76">
        <f>+B43/$B$14</f>
        <v>2.3469801741382242E-2</v>
      </c>
      <c r="H43" s="172"/>
    </row>
    <row r="44" spans="1:8" x14ac:dyDescent="0.25">
      <c r="H44" s="172"/>
    </row>
    <row r="45" spans="1:8" x14ac:dyDescent="0.25">
      <c r="A45" s="173" t="s">
        <v>105</v>
      </c>
      <c r="B45" s="174">
        <f>+B39-(0.5*B14)</f>
        <v>-2500.1700000000128</v>
      </c>
      <c r="H45" s="172"/>
    </row>
    <row r="53" spans="2:2" x14ac:dyDescent="0.25">
      <c r="B53" s="75"/>
    </row>
    <row r="54" spans="2:2" x14ac:dyDescent="0.25">
      <c r="B54" s="74"/>
    </row>
  </sheetData>
  <pageMargins left="0.7" right="0.7" top="0.75" bottom="0.75" header="0.3" footer="0.3"/>
  <pageSetup scale="71"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U25"/>
  <sheetViews>
    <sheetView workbookViewId="0">
      <selection sqref="A1:K1"/>
    </sheetView>
  </sheetViews>
  <sheetFormatPr defaultRowHeight="15" x14ac:dyDescent="0.25"/>
  <cols>
    <col min="1" max="3" width="9.140625" style="108"/>
    <col min="4" max="4" width="9.5703125" style="109" bestFit="1" customWidth="1"/>
    <col min="5" max="5" width="10.42578125" style="109" customWidth="1"/>
    <col min="6" max="6" width="8.7109375" style="109" customWidth="1"/>
    <col min="7" max="7" width="10.42578125" style="109" customWidth="1"/>
    <col min="8" max="8" width="8.7109375" style="109" customWidth="1"/>
    <col min="9" max="9" width="10.42578125" style="108" customWidth="1"/>
    <col min="10" max="10" width="8.7109375" style="108" customWidth="1"/>
    <col min="11" max="11" width="10.42578125" style="108" customWidth="1"/>
    <col min="12" max="12" width="8.7109375" style="108" customWidth="1"/>
    <col min="13" max="13" width="10.42578125" style="108" customWidth="1"/>
    <col min="14" max="14" width="8.7109375" style="108" bestFit="1" customWidth="1"/>
    <col min="15" max="15" width="10.42578125" style="108" bestFit="1" customWidth="1"/>
    <col min="16" max="21" width="9.140625" style="109"/>
    <col min="22" max="16384" width="9.140625" style="108"/>
  </cols>
  <sheetData>
    <row r="1" spans="1:16" x14ac:dyDescent="0.25">
      <c r="A1" s="108" t="s">
        <v>44</v>
      </c>
      <c r="B1" s="108" t="s">
        <v>45</v>
      </c>
      <c r="C1" s="108" t="s">
        <v>46</v>
      </c>
    </row>
    <row r="2" spans="1:16" x14ac:dyDescent="0.25">
      <c r="A2" s="108" t="s">
        <v>47</v>
      </c>
      <c r="B2" s="108">
        <v>2012</v>
      </c>
      <c r="C2" s="108">
        <v>5</v>
      </c>
      <c r="D2" s="110">
        <v>5.343782243528084</v>
      </c>
      <c r="E2" s="109" t="str">
        <f>VLOOKUP(C2,$O$2:$P$13,2,FALSE)</f>
        <v>May</v>
      </c>
      <c r="O2" s="108">
        <v>1</v>
      </c>
      <c r="P2" s="109" t="s">
        <v>48</v>
      </c>
    </row>
    <row r="3" spans="1:16" x14ac:dyDescent="0.25">
      <c r="A3" s="108" t="s">
        <v>47</v>
      </c>
      <c r="B3" s="108">
        <v>2012</v>
      </c>
      <c r="C3" s="108">
        <v>6</v>
      </c>
      <c r="D3" s="110">
        <v>3.5120598948475501</v>
      </c>
      <c r="E3" s="109" t="str">
        <f t="shared" ref="E3:E25" si="0">VLOOKUP(C3,$O$2:$P$13,2,FALSE)</f>
        <v>Jun</v>
      </c>
      <c r="O3" s="108">
        <v>2</v>
      </c>
      <c r="P3" s="109" t="s">
        <v>49</v>
      </c>
    </row>
    <row r="4" spans="1:16" x14ac:dyDescent="0.25">
      <c r="A4" s="108" t="s">
        <v>47</v>
      </c>
      <c r="B4" s="108">
        <v>2012</v>
      </c>
      <c r="C4" s="108">
        <v>7</v>
      </c>
      <c r="D4" s="110">
        <v>3.1876624815361891</v>
      </c>
      <c r="E4" s="109" t="str">
        <f t="shared" si="0"/>
        <v>Jul</v>
      </c>
      <c r="O4" s="108">
        <v>3</v>
      </c>
      <c r="P4" s="109" t="s">
        <v>50</v>
      </c>
    </row>
    <row r="5" spans="1:16" x14ac:dyDescent="0.25">
      <c r="A5" s="108" t="s">
        <v>47</v>
      </c>
      <c r="B5" s="108">
        <v>2012</v>
      </c>
      <c r="C5" s="108">
        <v>8</v>
      </c>
      <c r="D5" s="110">
        <v>2.3548633677991138</v>
      </c>
      <c r="E5" s="109" t="str">
        <f t="shared" si="0"/>
        <v>Aug</v>
      </c>
      <c r="O5" s="108">
        <v>4</v>
      </c>
      <c r="P5" s="109" t="s">
        <v>51</v>
      </c>
    </row>
    <row r="6" spans="1:16" x14ac:dyDescent="0.25">
      <c r="A6" s="108" t="s">
        <v>47</v>
      </c>
      <c r="B6" s="108">
        <v>2012</v>
      </c>
      <c r="C6" s="108">
        <v>9</v>
      </c>
      <c r="D6" s="110">
        <v>1.571329995999825</v>
      </c>
      <c r="E6" s="109" t="str">
        <f t="shared" si="0"/>
        <v>Sep</v>
      </c>
      <c r="O6" s="108">
        <v>5</v>
      </c>
      <c r="P6" s="109" t="s">
        <v>52</v>
      </c>
    </row>
    <row r="7" spans="1:16" x14ac:dyDescent="0.25">
      <c r="A7" s="108" t="s">
        <v>47</v>
      </c>
      <c r="B7" s="108">
        <v>2012</v>
      </c>
      <c r="C7" s="108">
        <v>10</v>
      </c>
      <c r="D7" s="110">
        <v>2.0547342184128849</v>
      </c>
      <c r="E7" s="109" t="str">
        <f t="shared" si="0"/>
        <v>Oct</v>
      </c>
      <c r="O7" s="108">
        <v>6</v>
      </c>
      <c r="P7" s="109" t="s">
        <v>53</v>
      </c>
    </row>
    <row r="8" spans="1:16" x14ac:dyDescent="0.25">
      <c r="A8" s="108" t="s">
        <v>47</v>
      </c>
      <c r="B8" s="108">
        <v>2012</v>
      </c>
      <c r="C8" s="108">
        <v>11</v>
      </c>
      <c r="D8" s="110">
        <v>2.9695824777183355</v>
      </c>
      <c r="E8" s="109" t="str">
        <f t="shared" si="0"/>
        <v>Nov</v>
      </c>
      <c r="O8" s="108">
        <v>7</v>
      </c>
      <c r="P8" s="109" t="s">
        <v>54</v>
      </c>
    </row>
    <row r="9" spans="1:16" x14ac:dyDescent="0.25">
      <c r="A9" s="108" t="s">
        <v>47</v>
      </c>
      <c r="B9" s="108">
        <v>2012</v>
      </c>
      <c r="C9" s="108">
        <v>12</v>
      </c>
      <c r="D9" s="110">
        <v>1.3190604214147892</v>
      </c>
      <c r="E9" s="109" t="str">
        <f t="shared" si="0"/>
        <v>Dec</v>
      </c>
      <c r="O9" s="108">
        <v>8</v>
      </c>
      <c r="P9" s="109" t="s">
        <v>55</v>
      </c>
    </row>
    <row r="10" spans="1:16" x14ac:dyDescent="0.25">
      <c r="A10" s="108" t="s">
        <v>47</v>
      </c>
      <c r="B10" s="108">
        <v>2013</v>
      </c>
      <c r="C10" s="108">
        <v>1</v>
      </c>
      <c r="D10" s="110">
        <v>0.97</v>
      </c>
      <c r="E10" s="109" t="str">
        <f t="shared" si="0"/>
        <v>Jan</v>
      </c>
      <c r="O10" s="108">
        <v>9</v>
      </c>
      <c r="P10" s="109" t="s">
        <v>56</v>
      </c>
    </row>
    <row r="11" spans="1:16" x14ac:dyDescent="0.25">
      <c r="A11" s="108" t="s">
        <v>47</v>
      </c>
      <c r="B11" s="108">
        <v>2013</v>
      </c>
      <c r="C11" s="108">
        <v>2</v>
      </c>
      <c r="D11" s="110">
        <v>0.9900000000000001</v>
      </c>
      <c r="E11" s="109" t="str">
        <f t="shared" si="0"/>
        <v>Feb</v>
      </c>
      <c r="O11" s="108">
        <v>10</v>
      </c>
      <c r="P11" s="109" t="s">
        <v>57</v>
      </c>
    </row>
    <row r="12" spans="1:16" x14ac:dyDescent="0.25">
      <c r="A12" s="108" t="s">
        <v>47</v>
      </c>
      <c r="B12" s="108">
        <v>2013</v>
      </c>
      <c r="C12" s="108">
        <v>3</v>
      </c>
      <c r="D12" s="110">
        <v>1.9400000000000002</v>
      </c>
      <c r="E12" s="109" t="str">
        <f t="shared" si="0"/>
        <v>Mar</v>
      </c>
      <c r="O12" s="108">
        <v>11</v>
      </c>
      <c r="P12" s="109" t="s">
        <v>58</v>
      </c>
    </row>
    <row r="13" spans="1:16" x14ac:dyDescent="0.25">
      <c r="A13" s="108" t="s">
        <v>47</v>
      </c>
      <c r="B13" s="108">
        <v>2013</v>
      </c>
      <c r="C13" s="108">
        <v>4</v>
      </c>
      <c r="D13" s="110">
        <v>3.3699999999999997</v>
      </c>
      <c r="E13" s="109" t="str">
        <f t="shared" si="0"/>
        <v>Apr</v>
      </c>
      <c r="O13" s="108">
        <v>12</v>
      </c>
      <c r="P13" s="109" t="s">
        <v>59</v>
      </c>
    </row>
    <row r="14" spans="1:16" x14ac:dyDescent="0.25">
      <c r="A14" s="108" t="s">
        <v>60</v>
      </c>
      <c r="B14" s="108">
        <v>2012</v>
      </c>
      <c r="C14" s="108">
        <v>5</v>
      </c>
      <c r="D14" s="110">
        <v>1225.1085105870463</v>
      </c>
      <c r="E14" s="109" t="str">
        <f t="shared" si="0"/>
        <v>May</v>
      </c>
    </row>
    <row r="15" spans="1:16" x14ac:dyDescent="0.25">
      <c r="A15" s="108" t="s">
        <v>60</v>
      </c>
      <c r="B15" s="108">
        <v>2012</v>
      </c>
      <c r="C15" s="108">
        <v>6</v>
      </c>
      <c r="D15" s="110">
        <v>1097.6595894573716</v>
      </c>
      <c r="E15" s="109" t="str">
        <f t="shared" si="0"/>
        <v>Jun</v>
      </c>
    </row>
    <row r="16" spans="1:16" x14ac:dyDescent="0.25">
      <c r="A16" s="108" t="s">
        <v>60</v>
      </c>
      <c r="B16" s="108">
        <v>2012</v>
      </c>
      <c r="C16" s="108">
        <v>7</v>
      </c>
      <c r="D16" s="110">
        <v>1054.1098894855254</v>
      </c>
      <c r="E16" s="109" t="str">
        <f t="shared" si="0"/>
        <v>Jul</v>
      </c>
    </row>
    <row r="17" spans="1:5" x14ac:dyDescent="0.25">
      <c r="A17" s="108" t="s">
        <v>60</v>
      </c>
      <c r="B17" s="108">
        <v>2012</v>
      </c>
      <c r="C17" s="108">
        <v>8</v>
      </c>
      <c r="D17" s="110">
        <v>804.35808812095365</v>
      </c>
      <c r="E17" s="109" t="str">
        <f t="shared" si="0"/>
        <v>Aug</v>
      </c>
    </row>
    <row r="18" spans="1:5" x14ac:dyDescent="0.25">
      <c r="A18" s="108" t="s">
        <v>60</v>
      </c>
      <c r="B18" s="108">
        <v>2012</v>
      </c>
      <c r="C18" s="108">
        <v>9</v>
      </c>
      <c r="D18" s="110">
        <v>576.57469314033403</v>
      </c>
      <c r="E18" s="109" t="str">
        <f t="shared" si="0"/>
        <v>Sep</v>
      </c>
    </row>
    <row r="19" spans="1:5" x14ac:dyDescent="0.25">
      <c r="A19" s="108" t="s">
        <v>60</v>
      </c>
      <c r="B19" s="108">
        <v>2012</v>
      </c>
      <c r="C19" s="108">
        <v>10</v>
      </c>
      <c r="D19" s="110">
        <v>668.37601172484528</v>
      </c>
      <c r="E19" s="109" t="str">
        <f t="shared" si="0"/>
        <v>Oct</v>
      </c>
    </row>
    <row r="20" spans="1:5" x14ac:dyDescent="0.25">
      <c r="A20" s="108" t="s">
        <v>60</v>
      </c>
      <c r="B20" s="108">
        <v>2012</v>
      </c>
      <c r="C20" s="108">
        <v>11</v>
      </c>
      <c r="D20" s="110">
        <v>859.80610599590045</v>
      </c>
      <c r="E20" s="109" t="str">
        <f t="shared" si="0"/>
        <v>Nov</v>
      </c>
    </row>
    <row r="21" spans="1:5" x14ac:dyDescent="0.25">
      <c r="A21" s="108" t="s">
        <v>60</v>
      </c>
      <c r="B21" s="108">
        <v>2012</v>
      </c>
      <c r="C21" s="108">
        <v>12</v>
      </c>
      <c r="D21" s="110">
        <v>434.72203883206959</v>
      </c>
      <c r="E21" s="109" t="str">
        <f t="shared" si="0"/>
        <v>Dec</v>
      </c>
    </row>
    <row r="22" spans="1:5" x14ac:dyDescent="0.25">
      <c r="A22" s="108" t="s">
        <v>60</v>
      </c>
      <c r="B22" s="108">
        <v>2013</v>
      </c>
      <c r="C22" s="108">
        <v>1</v>
      </c>
      <c r="D22" s="110">
        <v>305.48</v>
      </c>
      <c r="E22" s="109" t="str">
        <f t="shared" si="0"/>
        <v>Jan</v>
      </c>
    </row>
    <row r="23" spans="1:5" x14ac:dyDescent="0.25">
      <c r="A23" s="108" t="s">
        <v>60</v>
      </c>
      <c r="B23" s="108">
        <v>2013</v>
      </c>
      <c r="C23" s="108">
        <v>2</v>
      </c>
      <c r="D23" s="110">
        <v>339.65999999999997</v>
      </c>
      <c r="E23" s="109" t="str">
        <f t="shared" si="0"/>
        <v>Feb</v>
      </c>
    </row>
    <row r="24" spans="1:5" x14ac:dyDescent="0.25">
      <c r="A24" s="108" t="s">
        <v>60</v>
      </c>
      <c r="B24" s="108">
        <v>2013</v>
      </c>
      <c r="C24" s="108">
        <v>3</v>
      </c>
      <c r="D24" s="110">
        <v>588.33000000000004</v>
      </c>
      <c r="E24" s="109" t="str">
        <f t="shared" si="0"/>
        <v>Mar</v>
      </c>
    </row>
    <row r="25" spans="1:5" x14ac:dyDescent="0.25">
      <c r="A25" s="108" t="s">
        <v>60</v>
      </c>
      <c r="B25" s="108">
        <v>2013</v>
      </c>
      <c r="C25" s="108">
        <v>4</v>
      </c>
      <c r="D25" s="110">
        <v>1010.62</v>
      </c>
      <c r="E25" s="109" t="str">
        <f t="shared" si="0"/>
        <v>Apr</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U25"/>
  <sheetViews>
    <sheetView workbookViewId="0">
      <selection sqref="A1:K1"/>
    </sheetView>
  </sheetViews>
  <sheetFormatPr defaultRowHeight="15" x14ac:dyDescent="0.25"/>
  <cols>
    <col min="1" max="3" width="9.140625" style="108"/>
    <col min="4" max="4" width="8.7109375" style="108" customWidth="1"/>
    <col min="5" max="5" width="10.42578125" style="108" customWidth="1"/>
    <col min="6" max="6" width="8.7109375" style="108" customWidth="1"/>
    <col min="7" max="7" width="10.42578125" style="108" customWidth="1"/>
    <col min="8" max="8" width="8.7109375" style="108" customWidth="1"/>
    <col min="9" max="9" width="10.42578125" style="108" customWidth="1"/>
    <col min="10" max="10" width="8.7109375" style="108" customWidth="1"/>
    <col min="11" max="11" width="10.42578125" style="108" customWidth="1"/>
    <col min="12" max="12" width="8.7109375" style="108" customWidth="1"/>
    <col min="13" max="13" width="10.42578125" style="108" customWidth="1"/>
    <col min="14" max="14" width="8.7109375" style="108" bestFit="1" customWidth="1"/>
    <col min="15" max="15" width="10.42578125" style="108" bestFit="1" customWidth="1"/>
    <col min="16" max="21" width="9.140625" style="109"/>
    <col min="22" max="16384" width="9.140625" style="108"/>
  </cols>
  <sheetData>
    <row r="1" spans="1:16" x14ac:dyDescent="0.25">
      <c r="A1" s="108" t="s">
        <v>44</v>
      </c>
      <c r="B1" s="108" t="s">
        <v>45</v>
      </c>
      <c r="C1" s="108" t="s">
        <v>46</v>
      </c>
    </row>
    <row r="2" spans="1:16" x14ac:dyDescent="0.25">
      <c r="A2" s="108" t="s">
        <v>47</v>
      </c>
      <c r="B2" s="108">
        <v>2012</v>
      </c>
      <c r="C2" s="108">
        <v>5</v>
      </c>
      <c r="D2" s="111">
        <v>96.402084778441051</v>
      </c>
      <c r="E2" s="109" t="str">
        <f>VLOOKUP(C2,$O$2:$P$13,2,FALSE)</f>
        <v>May</v>
      </c>
      <c r="F2" s="109"/>
      <c r="G2" s="109"/>
      <c r="H2" s="109"/>
      <c r="O2" s="108">
        <v>1</v>
      </c>
      <c r="P2" s="109" t="s">
        <v>48</v>
      </c>
    </row>
    <row r="3" spans="1:16" x14ac:dyDescent="0.25">
      <c r="A3" s="108" t="s">
        <v>47</v>
      </c>
      <c r="B3" s="108">
        <v>2012</v>
      </c>
      <c r="C3" s="108">
        <v>6</v>
      </c>
      <c r="D3" s="111">
        <v>91.644571340667667</v>
      </c>
      <c r="E3" s="109" t="str">
        <f t="shared" ref="E3:E25" si="0">VLOOKUP(C3,$O$2:$P$13,2,FALSE)</f>
        <v>Jun</v>
      </c>
      <c r="F3" s="109"/>
      <c r="G3" s="109"/>
      <c r="H3" s="109"/>
      <c r="O3" s="108">
        <v>2</v>
      </c>
      <c r="P3" s="109" t="s">
        <v>49</v>
      </c>
    </row>
    <row r="4" spans="1:16" x14ac:dyDescent="0.25">
      <c r="A4" s="108" t="s">
        <v>47</v>
      </c>
      <c r="B4" s="108">
        <v>2012</v>
      </c>
      <c r="C4" s="108">
        <v>7</v>
      </c>
      <c r="D4" s="111">
        <v>100.45</v>
      </c>
      <c r="E4" s="109" t="str">
        <f t="shared" si="0"/>
        <v>Jul</v>
      </c>
      <c r="F4" s="109"/>
      <c r="G4" s="109"/>
      <c r="H4" s="109"/>
      <c r="O4" s="108">
        <v>3</v>
      </c>
      <c r="P4" s="109" t="s">
        <v>50</v>
      </c>
    </row>
    <row r="5" spans="1:16" x14ac:dyDescent="0.25">
      <c r="A5" s="108" t="s">
        <v>47</v>
      </c>
      <c r="B5" s="108">
        <v>2012</v>
      </c>
      <c r="C5" s="108">
        <v>8</v>
      </c>
      <c r="D5" s="111">
        <v>92.695612669940445</v>
      </c>
      <c r="E5" s="109" t="str">
        <f t="shared" si="0"/>
        <v>Aug</v>
      </c>
      <c r="F5" s="109"/>
      <c r="G5" s="109"/>
      <c r="H5" s="109"/>
      <c r="O5" s="108">
        <v>4</v>
      </c>
      <c r="P5" s="109" t="s">
        <v>51</v>
      </c>
    </row>
    <row r="6" spans="1:16" x14ac:dyDescent="0.25">
      <c r="A6" s="108" t="s">
        <v>47</v>
      </c>
      <c r="B6" s="108">
        <v>2012</v>
      </c>
      <c r="C6" s="108">
        <v>9</v>
      </c>
      <c r="D6" s="111">
        <v>87.792461608286203</v>
      </c>
      <c r="E6" s="109" t="str">
        <f t="shared" si="0"/>
        <v>Sep</v>
      </c>
      <c r="F6" s="109"/>
      <c r="G6" s="109"/>
      <c r="H6" s="109"/>
      <c r="O6" s="108">
        <v>5</v>
      </c>
      <c r="P6" s="109" t="s">
        <v>52</v>
      </c>
    </row>
    <row r="7" spans="1:16" x14ac:dyDescent="0.25">
      <c r="A7" s="108" t="s">
        <v>47</v>
      </c>
      <c r="B7" s="108">
        <v>2012</v>
      </c>
      <c r="C7" s="108">
        <v>10</v>
      </c>
      <c r="D7" s="111">
        <v>106.92289883643093</v>
      </c>
      <c r="E7" s="109" t="str">
        <f t="shared" si="0"/>
        <v>Oct</v>
      </c>
      <c r="F7" s="109"/>
      <c r="G7" s="109"/>
      <c r="H7" s="109"/>
      <c r="O7" s="108">
        <v>6</v>
      </c>
      <c r="P7" s="109" t="s">
        <v>53</v>
      </c>
    </row>
    <row r="8" spans="1:16" x14ac:dyDescent="0.25">
      <c r="A8" s="108" t="s">
        <v>47</v>
      </c>
      <c r="B8" s="108">
        <v>2012</v>
      </c>
      <c r="C8" s="108">
        <v>11</v>
      </c>
      <c r="D8" s="111">
        <v>104.68173513008352</v>
      </c>
      <c r="E8" s="109" t="str">
        <f t="shared" si="0"/>
        <v>Nov</v>
      </c>
      <c r="F8" s="109"/>
      <c r="G8" s="109"/>
      <c r="H8" s="109"/>
      <c r="O8" s="108">
        <v>7</v>
      </c>
      <c r="P8" s="109" t="s">
        <v>54</v>
      </c>
    </row>
    <row r="9" spans="1:16" x14ac:dyDescent="0.25">
      <c r="A9" s="108" t="s">
        <v>47</v>
      </c>
      <c r="B9" s="108">
        <v>2012</v>
      </c>
      <c r="C9" s="108">
        <v>12</v>
      </c>
      <c r="D9" s="111">
        <v>118.76049159678035</v>
      </c>
      <c r="E9" s="109" t="str">
        <f t="shared" si="0"/>
        <v>Dec</v>
      </c>
      <c r="F9" s="109"/>
      <c r="G9" s="109"/>
      <c r="H9" s="109"/>
      <c r="O9" s="108">
        <v>8</v>
      </c>
      <c r="P9" s="109" t="s">
        <v>55</v>
      </c>
    </row>
    <row r="10" spans="1:16" x14ac:dyDescent="0.25">
      <c r="A10" s="108" t="s">
        <v>47</v>
      </c>
      <c r="B10" s="108">
        <v>2013</v>
      </c>
      <c r="C10" s="108">
        <v>1</v>
      </c>
      <c r="D10" s="111">
        <v>100.85999999999999</v>
      </c>
      <c r="E10" s="109" t="str">
        <f t="shared" si="0"/>
        <v>Jan</v>
      </c>
      <c r="F10" s="109"/>
      <c r="G10" s="109"/>
      <c r="H10" s="109"/>
      <c r="O10" s="108">
        <v>9</v>
      </c>
      <c r="P10" s="109" t="s">
        <v>56</v>
      </c>
    </row>
    <row r="11" spans="1:16" x14ac:dyDescent="0.25">
      <c r="A11" s="108" t="s">
        <v>47</v>
      </c>
      <c r="B11" s="108">
        <v>2013</v>
      </c>
      <c r="C11" s="108">
        <v>2</v>
      </c>
      <c r="D11" s="111">
        <v>83.88</v>
      </c>
      <c r="E11" s="109" t="str">
        <f t="shared" si="0"/>
        <v>Feb</v>
      </c>
      <c r="F11" s="109"/>
      <c r="G11" s="109"/>
      <c r="H11" s="109"/>
      <c r="O11" s="108">
        <v>10</v>
      </c>
      <c r="P11" s="109" t="s">
        <v>57</v>
      </c>
    </row>
    <row r="12" spans="1:16" x14ac:dyDescent="0.25">
      <c r="A12" s="108" t="s">
        <v>47</v>
      </c>
      <c r="B12" s="108">
        <v>2013</v>
      </c>
      <c r="C12" s="108">
        <v>3</v>
      </c>
      <c r="D12" s="111">
        <v>94.58</v>
      </c>
      <c r="E12" s="109" t="str">
        <f t="shared" si="0"/>
        <v>Mar</v>
      </c>
      <c r="F12" s="109"/>
      <c r="G12" s="109"/>
      <c r="H12" s="109"/>
      <c r="O12" s="108">
        <v>11</v>
      </c>
      <c r="P12" s="109" t="s">
        <v>58</v>
      </c>
    </row>
    <row r="13" spans="1:16" x14ac:dyDescent="0.25">
      <c r="A13" s="108" t="s">
        <v>47</v>
      </c>
      <c r="B13" s="108">
        <v>2013</v>
      </c>
      <c r="C13" s="108">
        <v>4</v>
      </c>
      <c r="D13" s="111">
        <v>91.99</v>
      </c>
      <c r="E13" s="109" t="str">
        <f t="shared" si="0"/>
        <v>Apr</v>
      </c>
      <c r="F13" s="109"/>
      <c r="G13" s="109"/>
      <c r="H13" s="109"/>
      <c r="O13" s="108">
        <v>12</v>
      </c>
      <c r="P13" s="109" t="s">
        <v>59</v>
      </c>
    </row>
    <row r="14" spans="1:16" x14ac:dyDescent="0.25">
      <c r="A14" s="108" t="s">
        <v>60</v>
      </c>
      <c r="B14" s="108">
        <v>2012</v>
      </c>
      <c r="C14" s="108">
        <v>5</v>
      </c>
      <c r="D14" s="111">
        <v>539.78316667285003</v>
      </c>
      <c r="E14" s="109" t="str">
        <f t="shared" si="0"/>
        <v>May</v>
      </c>
      <c r="F14" s="109"/>
      <c r="G14" s="109"/>
      <c r="H14" s="109"/>
    </row>
    <row r="15" spans="1:16" x14ac:dyDescent="0.25">
      <c r="A15" s="108" t="s">
        <v>60</v>
      </c>
      <c r="B15" s="108">
        <v>2012</v>
      </c>
      <c r="C15" s="108">
        <v>6</v>
      </c>
      <c r="D15" s="111">
        <v>469.29792345095416</v>
      </c>
      <c r="E15" s="109" t="str">
        <f t="shared" si="0"/>
        <v>Jun</v>
      </c>
      <c r="F15" s="109"/>
      <c r="G15" s="109"/>
      <c r="H15" s="109"/>
    </row>
    <row r="16" spans="1:16" x14ac:dyDescent="0.25">
      <c r="A16" s="108" t="s">
        <v>60</v>
      </c>
      <c r="B16" s="108">
        <v>2012</v>
      </c>
      <c r="C16" s="108">
        <v>7</v>
      </c>
      <c r="D16" s="111">
        <v>497.96000000000004</v>
      </c>
      <c r="E16" s="109" t="str">
        <f t="shared" si="0"/>
        <v>Jul</v>
      </c>
      <c r="F16" s="109"/>
      <c r="G16" s="109"/>
      <c r="H16" s="109"/>
    </row>
    <row r="17" spans="1:8" x14ac:dyDescent="0.25">
      <c r="A17" s="108" t="s">
        <v>60</v>
      </c>
      <c r="B17" s="108">
        <v>2012</v>
      </c>
      <c r="C17" s="108">
        <v>8</v>
      </c>
      <c r="D17" s="111">
        <v>511.74228889151868</v>
      </c>
      <c r="E17" s="109" t="str">
        <f t="shared" si="0"/>
        <v>Aug</v>
      </c>
      <c r="F17" s="109"/>
      <c r="G17" s="109"/>
      <c r="H17" s="109"/>
    </row>
    <row r="18" spans="1:8" x14ac:dyDescent="0.25">
      <c r="A18" s="108" t="s">
        <v>60</v>
      </c>
      <c r="B18" s="108">
        <v>2012</v>
      </c>
      <c r="C18" s="108">
        <v>9</v>
      </c>
      <c r="D18" s="111">
        <v>462.06366651416215</v>
      </c>
      <c r="E18" s="109" t="str">
        <f t="shared" si="0"/>
        <v>Sep</v>
      </c>
      <c r="F18" s="109"/>
      <c r="G18" s="109"/>
      <c r="H18" s="109"/>
    </row>
    <row r="19" spans="1:8" x14ac:dyDescent="0.25">
      <c r="A19" s="108" t="s">
        <v>60</v>
      </c>
      <c r="B19" s="108">
        <v>2012</v>
      </c>
      <c r="C19" s="108">
        <v>10</v>
      </c>
      <c r="D19" s="111">
        <v>529.09201442316396</v>
      </c>
      <c r="E19" s="109" t="str">
        <f t="shared" si="0"/>
        <v>Oct</v>
      </c>
      <c r="F19" s="109"/>
      <c r="G19" s="109"/>
      <c r="H19" s="109"/>
    </row>
    <row r="20" spans="1:8" x14ac:dyDescent="0.25">
      <c r="A20" s="108" t="s">
        <v>60</v>
      </c>
      <c r="B20" s="108">
        <v>2012</v>
      </c>
      <c r="C20" s="108">
        <v>11</v>
      </c>
      <c r="D20" s="111">
        <v>534.4881875149058</v>
      </c>
      <c r="E20" s="109" t="str">
        <f t="shared" si="0"/>
        <v>Nov</v>
      </c>
      <c r="F20" s="109"/>
      <c r="G20" s="109"/>
      <c r="H20" s="109"/>
    </row>
    <row r="21" spans="1:8" x14ac:dyDescent="0.25">
      <c r="A21" s="108" t="s">
        <v>60</v>
      </c>
      <c r="B21" s="108">
        <v>2012</v>
      </c>
      <c r="C21" s="108">
        <v>12</v>
      </c>
      <c r="D21" s="111">
        <v>585.08005324953263</v>
      </c>
      <c r="E21" s="109" t="str">
        <f t="shared" si="0"/>
        <v>Dec</v>
      </c>
      <c r="F21" s="109"/>
      <c r="G21" s="109"/>
      <c r="H21" s="109"/>
    </row>
    <row r="22" spans="1:8" x14ac:dyDescent="0.25">
      <c r="A22" s="108" t="s">
        <v>60</v>
      </c>
      <c r="B22" s="108">
        <v>2013</v>
      </c>
      <c r="C22" s="108">
        <v>1</v>
      </c>
      <c r="D22" s="111">
        <v>582.06000000000006</v>
      </c>
      <c r="E22" s="109" t="str">
        <f t="shared" si="0"/>
        <v>Jan</v>
      </c>
      <c r="F22" s="109"/>
      <c r="G22" s="109"/>
      <c r="H22" s="109"/>
    </row>
    <row r="23" spans="1:8" x14ac:dyDescent="0.25">
      <c r="A23" s="108" t="s">
        <v>60</v>
      </c>
      <c r="B23" s="108">
        <v>2013</v>
      </c>
      <c r="C23" s="108">
        <v>2</v>
      </c>
      <c r="D23" s="111">
        <v>439.76</v>
      </c>
      <c r="E23" s="109" t="str">
        <f t="shared" si="0"/>
        <v>Feb</v>
      </c>
      <c r="F23" s="109"/>
      <c r="G23" s="109"/>
      <c r="H23" s="109"/>
    </row>
    <row r="24" spans="1:8" x14ac:dyDescent="0.25">
      <c r="A24" s="108" t="s">
        <v>60</v>
      </c>
      <c r="B24" s="108">
        <v>2013</v>
      </c>
      <c r="C24" s="108">
        <v>3</v>
      </c>
      <c r="D24" s="111">
        <v>468.87</v>
      </c>
      <c r="E24" s="109" t="str">
        <f t="shared" si="0"/>
        <v>Mar</v>
      </c>
      <c r="F24" s="109"/>
      <c r="G24" s="109"/>
      <c r="H24" s="109"/>
    </row>
    <row r="25" spans="1:8" x14ac:dyDescent="0.25">
      <c r="A25" s="108" t="s">
        <v>60</v>
      </c>
      <c r="B25" s="108">
        <v>2013</v>
      </c>
      <c r="C25" s="108">
        <v>4</v>
      </c>
      <c r="D25" s="111">
        <v>516.49</v>
      </c>
      <c r="E25" s="109" t="str">
        <f t="shared" si="0"/>
        <v>Apr</v>
      </c>
      <c r="F25" s="109"/>
      <c r="G25" s="109"/>
      <c r="H25" s="109"/>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U25"/>
  <sheetViews>
    <sheetView workbookViewId="0">
      <selection sqref="A1:K1"/>
    </sheetView>
  </sheetViews>
  <sheetFormatPr defaultRowHeight="15" x14ac:dyDescent="0.25"/>
  <cols>
    <col min="1" max="3" width="9.140625" style="108"/>
    <col min="4" max="4" width="8.7109375" style="108" customWidth="1"/>
    <col min="5" max="5" width="10.42578125" style="108" customWidth="1"/>
    <col min="6" max="6" width="8.7109375" style="108" customWidth="1"/>
    <col min="7" max="7" width="10.42578125" style="108" customWidth="1"/>
    <col min="8" max="8" width="8.7109375" style="108" customWidth="1"/>
    <col min="9" max="9" width="10.42578125" style="108" customWidth="1"/>
    <col min="10" max="10" width="8.7109375" style="108" customWidth="1"/>
    <col min="11" max="11" width="10.42578125" style="108" customWidth="1"/>
    <col min="12" max="12" width="8.7109375" style="108" customWidth="1"/>
    <col min="13" max="13" width="10.42578125" style="108" customWidth="1"/>
    <col min="14" max="14" width="8.7109375" style="108" bestFit="1" customWidth="1"/>
    <col min="15" max="15" width="10.42578125" style="108" bestFit="1" customWidth="1"/>
    <col min="16" max="21" width="9.140625" style="109"/>
    <col min="22" max="16384" width="9.140625" style="108"/>
  </cols>
  <sheetData>
    <row r="1" spans="1:16" x14ac:dyDescent="0.25">
      <c r="A1" s="108" t="s">
        <v>44</v>
      </c>
      <c r="B1" s="108" t="s">
        <v>45</v>
      </c>
      <c r="C1" s="108" t="s">
        <v>46</v>
      </c>
    </row>
    <row r="2" spans="1:16" x14ac:dyDescent="0.25">
      <c r="A2" s="108" t="s">
        <v>47</v>
      </c>
      <c r="B2" s="108">
        <v>2012</v>
      </c>
      <c r="C2" s="108">
        <v>5</v>
      </c>
      <c r="D2" s="112">
        <v>442.80114679497973</v>
      </c>
      <c r="E2" s="109" t="str">
        <f>VLOOKUP(C2,$O$2:$P$13,2,FALSE)</f>
        <v>May</v>
      </c>
      <c r="F2" s="109"/>
      <c r="G2" s="109"/>
      <c r="H2" s="109"/>
      <c r="O2" s="108">
        <v>1</v>
      </c>
      <c r="P2" s="109" t="s">
        <v>48</v>
      </c>
    </row>
    <row r="3" spans="1:16" x14ac:dyDescent="0.25">
      <c r="A3" s="108" t="s">
        <v>47</v>
      </c>
      <c r="B3" s="108">
        <v>2012</v>
      </c>
      <c r="C3" s="108">
        <v>6</v>
      </c>
      <c r="D3" s="112">
        <v>427.11461959339516</v>
      </c>
      <c r="E3" s="109" t="str">
        <f t="shared" ref="E3:E25" si="0">VLOOKUP(C3,$O$2:$P$13,2,FALSE)</f>
        <v>Jun</v>
      </c>
      <c r="F3" s="109"/>
      <c r="G3" s="109"/>
      <c r="H3" s="109"/>
      <c r="O3" s="108">
        <v>2</v>
      </c>
      <c r="P3" s="109" t="s">
        <v>49</v>
      </c>
    </row>
    <row r="4" spans="1:16" x14ac:dyDescent="0.25">
      <c r="A4" s="108" t="s">
        <v>47</v>
      </c>
      <c r="B4" s="108">
        <v>2012</v>
      </c>
      <c r="C4" s="108">
        <v>7</v>
      </c>
      <c r="D4" s="112">
        <v>436.73439565755422</v>
      </c>
      <c r="E4" s="109" t="str">
        <f t="shared" si="0"/>
        <v>Jul</v>
      </c>
      <c r="F4" s="109"/>
      <c r="G4" s="109"/>
      <c r="H4" s="109"/>
      <c r="O4" s="108">
        <v>3</v>
      </c>
      <c r="P4" s="109" t="s">
        <v>50</v>
      </c>
    </row>
    <row r="5" spans="1:16" x14ac:dyDescent="0.25">
      <c r="A5" s="108" t="s">
        <v>47</v>
      </c>
      <c r="B5" s="108">
        <v>2012</v>
      </c>
      <c r="C5" s="108">
        <v>8</v>
      </c>
      <c r="D5" s="112">
        <v>434.56076892447084</v>
      </c>
      <c r="E5" s="109" t="str">
        <f t="shared" si="0"/>
        <v>Aug</v>
      </c>
      <c r="F5" s="109"/>
      <c r="G5" s="109"/>
      <c r="H5" s="109"/>
      <c r="O5" s="108">
        <v>4</v>
      </c>
      <c r="P5" s="109" t="s">
        <v>51</v>
      </c>
    </row>
    <row r="6" spans="1:16" x14ac:dyDescent="0.25">
      <c r="A6" s="108" t="s">
        <v>47</v>
      </c>
      <c r="B6" s="108">
        <v>2012</v>
      </c>
      <c r="C6" s="108">
        <v>9</v>
      </c>
      <c r="D6" s="112">
        <v>379.38632800346585</v>
      </c>
      <c r="E6" s="109" t="str">
        <f t="shared" si="0"/>
        <v>Sep</v>
      </c>
      <c r="F6" s="109"/>
      <c r="G6" s="109"/>
      <c r="H6" s="109"/>
      <c r="O6" s="108">
        <v>5</v>
      </c>
      <c r="P6" s="109" t="s">
        <v>52</v>
      </c>
    </row>
    <row r="7" spans="1:16" x14ac:dyDescent="0.25">
      <c r="A7" s="108" t="s">
        <v>47</v>
      </c>
      <c r="B7" s="108">
        <v>2012</v>
      </c>
      <c r="C7" s="108">
        <v>10</v>
      </c>
      <c r="D7" s="112">
        <v>443.43263488977738</v>
      </c>
      <c r="E7" s="109" t="str">
        <f t="shared" si="0"/>
        <v>Oct</v>
      </c>
      <c r="F7" s="109"/>
      <c r="G7" s="109"/>
      <c r="H7" s="109"/>
      <c r="O7" s="108">
        <v>6</v>
      </c>
      <c r="P7" s="109" t="s">
        <v>53</v>
      </c>
    </row>
    <row r="8" spans="1:16" x14ac:dyDescent="0.25">
      <c r="A8" s="108" t="s">
        <v>47</v>
      </c>
      <c r="B8" s="108">
        <v>2012</v>
      </c>
      <c r="C8" s="108">
        <v>11</v>
      </c>
      <c r="D8" s="112">
        <v>453.78291152679503</v>
      </c>
      <c r="E8" s="109" t="str">
        <f t="shared" si="0"/>
        <v>Nov</v>
      </c>
      <c r="F8" s="109"/>
      <c r="G8" s="109"/>
      <c r="H8" s="109"/>
      <c r="O8" s="108">
        <v>7</v>
      </c>
      <c r="P8" s="109" t="s">
        <v>54</v>
      </c>
    </row>
    <row r="9" spans="1:16" x14ac:dyDescent="0.25">
      <c r="A9" s="108" t="s">
        <v>47</v>
      </c>
      <c r="B9" s="108">
        <v>2012</v>
      </c>
      <c r="C9" s="108">
        <v>12</v>
      </c>
      <c r="D9" s="112">
        <v>441.98544360268289</v>
      </c>
      <c r="E9" s="109" t="str">
        <f t="shared" si="0"/>
        <v>Dec</v>
      </c>
      <c r="F9" s="109"/>
      <c r="G9" s="109"/>
      <c r="H9" s="109"/>
      <c r="O9" s="108">
        <v>8</v>
      </c>
      <c r="P9" s="109" t="s">
        <v>55</v>
      </c>
    </row>
    <row r="10" spans="1:16" x14ac:dyDescent="0.25">
      <c r="A10" s="108" t="s">
        <v>47</v>
      </c>
      <c r="B10" s="108">
        <v>2013</v>
      </c>
      <c r="C10" s="108">
        <v>1</v>
      </c>
      <c r="D10" s="112">
        <v>426.7</v>
      </c>
      <c r="E10" s="109" t="str">
        <f t="shared" si="0"/>
        <v>Jan</v>
      </c>
      <c r="F10" s="109"/>
      <c r="G10" s="109"/>
      <c r="H10" s="109"/>
      <c r="O10" s="108">
        <v>9</v>
      </c>
      <c r="P10" s="109" t="s">
        <v>56</v>
      </c>
    </row>
    <row r="11" spans="1:16" x14ac:dyDescent="0.25">
      <c r="A11" s="108" t="s">
        <v>47</v>
      </c>
      <c r="B11" s="108">
        <v>2013</v>
      </c>
      <c r="C11" s="108">
        <v>2</v>
      </c>
      <c r="D11" s="112">
        <v>367.69</v>
      </c>
      <c r="E11" s="109" t="str">
        <f t="shared" si="0"/>
        <v>Feb</v>
      </c>
      <c r="F11" s="109"/>
      <c r="G11" s="109"/>
      <c r="H11" s="109"/>
      <c r="O11" s="108">
        <v>10</v>
      </c>
      <c r="P11" s="109" t="s">
        <v>57</v>
      </c>
    </row>
    <row r="12" spans="1:16" x14ac:dyDescent="0.25">
      <c r="A12" s="108" t="s">
        <v>47</v>
      </c>
      <c r="B12" s="108">
        <v>2013</v>
      </c>
      <c r="C12" s="108">
        <v>3</v>
      </c>
      <c r="D12" s="112">
        <v>403.28</v>
      </c>
      <c r="E12" s="109" t="str">
        <f t="shared" si="0"/>
        <v>Mar</v>
      </c>
      <c r="F12" s="109"/>
      <c r="G12" s="109"/>
      <c r="H12" s="109"/>
      <c r="O12" s="108">
        <v>11</v>
      </c>
      <c r="P12" s="109" t="s">
        <v>58</v>
      </c>
    </row>
    <row r="13" spans="1:16" x14ac:dyDescent="0.25">
      <c r="A13" s="108" t="s">
        <v>47</v>
      </c>
      <c r="B13" s="108">
        <v>2013</v>
      </c>
      <c r="C13" s="108">
        <v>4</v>
      </c>
      <c r="D13" s="112">
        <v>448.81</v>
      </c>
      <c r="E13" s="109" t="str">
        <f t="shared" si="0"/>
        <v>Apr</v>
      </c>
      <c r="F13" s="109"/>
      <c r="G13" s="109"/>
      <c r="H13" s="109"/>
      <c r="O13" s="108">
        <v>12</v>
      </c>
      <c r="P13" s="109" t="s">
        <v>59</v>
      </c>
    </row>
    <row r="14" spans="1:16" x14ac:dyDescent="0.25">
      <c r="A14" s="108" t="s">
        <v>60</v>
      </c>
      <c r="B14" s="108">
        <v>2012</v>
      </c>
      <c r="C14" s="108">
        <v>5</v>
      </c>
      <c r="D14" s="112">
        <v>948.003235030067</v>
      </c>
      <c r="E14" s="109" t="str">
        <f t="shared" si="0"/>
        <v>May</v>
      </c>
      <c r="F14" s="109"/>
      <c r="G14" s="109"/>
      <c r="H14" s="109"/>
    </row>
    <row r="15" spans="1:16" x14ac:dyDescent="0.25">
      <c r="A15" s="108" t="s">
        <v>60</v>
      </c>
      <c r="B15" s="108">
        <v>2012</v>
      </c>
      <c r="C15" s="108">
        <v>6</v>
      </c>
      <c r="D15" s="112">
        <v>908.85829845817216</v>
      </c>
      <c r="E15" s="109" t="str">
        <f t="shared" si="0"/>
        <v>Jun</v>
      </c>
      <c r="F15" s="109"/>
      <c r="G15" s="109"/>
      <c r="H15" s="109"/>
    </row>
    <row r="16" spans="1:16" x14ac:dyDescent="0.25">
      <c r="A16" s="108" t="s">
        <v>60</v>
      </c>
      <c r="B16" s="108">
        <v>2012</v>
      </c>
      <c r="C16" s="108">
        <v>7</v>
      </c>
      <c r="D16" s="112">
        <v>994.64880771735079</v>
      </c>
      <c r="E16" s="109" t="str">
        <f t="shared" si="0"/>
        <v>Jul</v>
      </c>
      <c r="F16" s="109"/>
      <c r="G16" s="109"/>
      <c r="H16" s="109"/>
    </row>
    <row r="17" spans="1:8" x14ac:dyDescent="0.25">
      <c r="A17" s="108" t="s">
        <v>60</v>
      </c>
      <c r="B17" s="108">
        <v>2012</v>
      </c>
      <c r="C17" s="108">
        <v>8</v>
      </c>
      <c r="D17" s="112">
        <v>978.92523047385157</v>
      </c>
      <c r="E17" s="109" t="str">
        <f t="shared" si="0"/>
        <v>Aug</v>
      </c>
      <c r="F17" s="109"/>
      <c r="G17" s="109"/>
      <c r="H17" s="109"/>
    </row>
    <row r="18" spans="1:8" x14ac:dyDescent="0.25">
      <c r="A18" s="108" t="s">
        <v>60</v>
      </c>
      <c r="B18" s="108">
        <v>2012</v>
      </c>
      <c r="C18" s="108">
        <v>9</v>
      </c>
      <c r="D18" s="112">
        <v>853.0615577465702</v>
      </c>
      <c r="E18" s="109" t="str">
        <f t="shared" si="0"/>
        <v>Sep</v>
      </c>
      <c r="F18" s="109"/>
      <c r="G18" s="109"/>
      <c r="H18" s="109"/>
    </row>
    <row r="19" spans="1:8" x14ac:dyDescent="0.25">
      <c r="A19" s="108" t="s">
        <v>60</v>
      </c>
      <c r="B19" s="108">
        <v>2012</v>
      </c>
      <c r="C19" s="108">
        <v>10</v>
      </c>
      <c r="D19" s="112">
        <v>948.04601798102919</v>
      </c>
      <c r="E19" s="109" t="str">
        <f t="shared" si="0"/>
        <v>Oct</v>
      </c>
      <c r="F19" s="109"/>
      <c r="G19" s="109"/>
      <c r="H19" s="109"/>
    </row>
    <row r="20" spans="1:8" x14ac:dyDescent="0.25">
      <c r="A20" s="108" t="s">
        <v>60</v>
      </c>
      <c r="B20" s="108">
        <v>2012</v>
      </c>
      <c r="C20" s="108">
        <v>11</v>
      </c>
      <c r="D20" s="112">
        <v>958.25211251571386</v>
      </c>
      <c r="E20" s="109" t="str">
        <f t="shared" si="0"/>
        <v>Nov</v>
      </c>
      <c r="F20" s="109"/>
      <c r="G20" s="109"/>
      <c r="H20" s="109"/>
    </row>
    <row r="21" spans="1:8" x14ac:dyDescent="0.25">
      <c r="A21" s="108" t="s">
        <v>60</v>
      </c>
      <c r="B21" s="108">
        <v>2012</v>
      </c>
      <c r="C21" s="108">
        <v>12</v>
      </c>
      <c r="D21" s="112">
        <v>923.90098891278308</v>
      </c>
      <c r="E21" s="109" t="str">
        <f t="shared" si="0"/>
        <v>Dec</v>
      </c>
      <c r="F21" s="109"/>
      <c r="G21" s="109"/>
      <c r="H21" s="109"/>
    </row>
    <row r="22" spans="1:8" x14ac:dyDescent="0.25">
      <c r="A22" s="108" t="s">
        <v>60</v>
      </c>
      <c r="B22" s="108">
        <v>2013</v>
      </c>
      <c r="C22" s="108">
        <v>1</v>
      </c>
      <c r="D22" s="112">
        <v>955.81000000000006</v>
      </c>
      <c r="E22" s="109" t="str">
        <f t="shared" si="0"/>
        <v>Jan</v>
      </c>
      <c r="F22" s="109"/>
      <c r="G22" s="109"/>
      <c r="H22" s="109"/>
    </row>
    <row r="23" spans="1:8" x14ac:dyDescent="0.25">
      <c r="A23" s="108" t="s">
        <v>60</v>
      </c>
      <c r="B23" s="108">
        <v>2013</v>
      </c>
      <c r="C23" s="108">
        <v>2</v>
      </c>
      <c r="D23" s="112">
        <v>792.40000000000009</v>
      </c>
      <c r="E23" s="109" t="str">
        <f t="shared" si="0"/>
        <v>Feb</v>
      </c>
      <c r="F23" s="109"/>
      <c r="G23" s="109"/>
      <c r="H23" s="109"/>
    </row>
    <row r="24" spans="1:8" x14ac:dyDescent="0.25">
      <c r="A24" s="108" t="s">
        <v>60</v>
      </c>
      <c r="B24" s="108">
        <v>2013</v>
      </c>
      <c r="C24" s="108">
        <v>3</v>
      </c>
      <c r="D24" s="112">
        <v>836.05</v>
      </c>
      <c r="E24" s="109" t="str">
        <f t="shared" si="0"/>
        <v>Mar</v>
      </c>
      <c r="F24" s="109"/>
      <c r="G24" s="109"/>
      <c r="H24" s="109"/>
    </row>
    <row r="25" spans="1:8" x14ac:dyDescent="0.25">
      <c r="A25" s="108" t="s">
        <v>60</v>
      </c>
      <c r="B25" s="108">
        <v>2013</v>
      </c>
      <c r="C25" s="108">
        <v>4</v>
      </c>
      <c r="D25" s="112">
        <v>926.59999999999991</v>
      </c>
      <c r="E25" s="109" t="str">
        <f t="shared" si="0"/>
        <v>Apr</v>
      </c>
      <c r="F25" s="109"/>
      <c r="G25" s="109"/>
      <c r="H25" s="109"/>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9"/>
  <sheetViews>
    <sheetView workbookViewId="0">
      <selection sqref="A1:K1"/>
    </sheetView>
  </sheetViews>
  <sheetFormatPr defaultRowHeight="15" x14ac:dyDescent="0.25"/>
  <cols>
    <col min="1" max="1" width="9.7109375" style="134" customWidth="1"/>
    <col min="2" max="2" width="10.85546875" style="134" bestFit="1" customWidth="1"/>
    <col min="3" max="3" width="10.140625" style="134" bestFit="1" customWidth="1"/>
    <col min="4" max="4" width="8.42578125" style="134" bestFit="1" customWidth="1"/>
    <col min="5" max="5" width="12.28515625" style="134" bestFit="1" customWidth="1"/>
    <col min="6" max="7" width="9.140625" style="134"/>
    <col min="8" max="8" width="10.85546875" style="134" bestFit="1" customWidth="1"/>
    <col min="9" max="9" width="10.140625" style="134" bestFit="1" customWidth="1"/>
    <col min="10" max="10" width="8.42578125" style="134" bestFit="1" customWidth="1"/>
    <col min="11" max="11" width="12.28515625" style="134" bestFit="1" customWidth="1"/>
    <col min="12" max="16384" width="9.140625" style="134"/>
  </cols>
  <sheetData>
    <row r="1" spans="1:11" x14ac:dyDescent="0.25">
      <c r="A1" s="196" t="s">
        <v>127</v>
      </c>
      <c r="B1" s="197"/>
      <c r="C1" s="197"/>
      <c r="D1" s="197"/>
      <c r="E1" s="198"/>
      <c r="F1" s="177"/>
      <c r="G1" s="196" t="s">
        <v>126</v>
      </c>
      <c r="H1" s="197"/>
      <c r="I1" s="197"/>
      <c r="J1" s="197"/>
      <c r="K1" s="198"/>
    </row>
    <row r="2" spans="1:11" x14ac:dyDescent="0.25">
      <c r="A2" s="183"/>
      <c r="B2" s="182"/>
      <c r="C2" s="182" t="s">
        <v>21</v>
      </c>
      <c r="D2" s="182" t="s">
        <v>20</v>
      </c>
      <c r="E2" s="181" t="s">
        <v>19</v>
      </c>
      <c r="G2" s="183"/>
      <c r="H2" s="182"/>
      <c r="I2" s="182" t="s">
        <v>21</v>
      </c>
      <c r="J2" s="182" t="s">
        <v>20</v>
      </c>
      <c r="K2" s="181" t="s">
        <v>19</v>
      </c>
    </row>
    <row r="3" spans="1:11" x14ac:dyDescent="0.25">
      <c r="A3" s="183">
        <v>2011</v>
      </c>
      <c r="B3" s="182" t="s">
        <v>52</v>
      </c>
      <c r="C3" s="182">
        <v>928.62</v>
      </c>
      <c r="D3" s="182">
        <v>1193.52</v>
      </c>
      <c r="E3" s="181">
        <v>506.45</v>
      </c>
      <c r="G3" s="183">
        <v>2011</v>
      </c>
      <c r="H3" s="182" t="s">
        <v>52</v>
      </c>
      <c r="I3" s="182">
        <v>445.07</v>
      </c>
      <c r="J3" s="182">
        <v>4.43</v>
      </c>
      <c r="K3" s="181">
        <v>91.7</v>
      </c>
    </row>
    <row r="4" spans="1:11" x14ac:dyDescent="0.25">
      <c r="A4" s="183">
        <v>2011</v>
      </c>
      <c r="B4" s="182" t="s">
        <v>119</v>
      </c>
      <c r="C4" s="182">
        <v>946.03</v>
      </c>
      <c r="D4" s="182">
        <v>1238.6099999999999</v>
      </c>
      <c r="E4" s="181">
        <v>502.28</v>
      </c>
      <c r="G4" s="183">
        <v>2011</v>
      </c>
      <c r="H4" s="182" t="s">
        <v>119</v>
      </c>
      <c r="I4" s="182">
        <v>441.45</v>
      </c>
      <c r="J4" s="182">
        <v>4.53</v>
      </c>
      <c r="K4" s="181">
        <v>96.25</v>
      </c>
    </row>
    <row r="5" spans="1:11" x14ac:dyDescent="0.25">
      <c r="A5" s="183">
        <v>2011</v>
      </c>
      <c r="B5" s="182" t="s">
        <v>118</v>
      </c>
      <c r="C5" s="182">
        <v>924.08</v>
      </c>
      <c r="D5" s="182">
        <v>917.29</v>
      </c>
      <c r="E5" s="181">
        <v>477.71</v>
      </c>
      <c r="G5" s="183">
        <v>2011</v>
      </c>
      <c r="H5" s="182" t="s">
        <v>118</v>
      </c>
      <c r="I5" s="182">
        <v>402.95</v>
      </c>
      <c r="J5" s="182">
        <v>3.53</v>
      </c>
      <c r="K5" s="181">
        <v>76.489999999999995</v>
      </c>
    </row>
    <row r="6" spans="1:11" x14ac:dyDescent="0.25">
      <c r="A6" s="183">
        <v>2011</v>
      </c>
      <c r="B6" s="182" t="s">
        <v>117</v>
      </c>
      <c r="C6" s="182">
        <v>1001.35</v>
      </c>
      <c r="D6" s="182">
        <v>756.12</v>
      </c>
      <c r="E6" s="181">
        <v>529.14</v>
      </c>
      <c r="G6" s="183">
        <v>2011</v>
      </c>
      <c r="H6" s="182" t="s">
        <v>117</v>
      </c>
      <c r="I6" s="182">
        <v>450.32</v>
      </c>
      <c r="J6" s="182">
        <v>2.77</v>
      </c>
      <c r="K6" s="181">
        <v>92.99</v>
      </c>
    </row>
    <row r="7" spans="1:11" x14ac:dyDescent="0.25">
      <c r="A7" s="183">
        <v>2011</v>
      </c>
      <c r="B7" s="182" t="s">
        <v>116</v>
      </c>
      <c r="C7" s="182">
        <v>933.03</v>
      </c>
      <c r="D7" s="182">
        <v>570.96</v>
      </c>
      <c r="E7" s="181">
        <v>486.53</v>
      </c>
      <c r="G7" s="183">
        <v>2011</v>
      </c>
      <c r="H7" s="182" t="s">
        <v>116</v>
      </c>
      <c r="I7" s="182">
        <v>422.13</v>
      </c>
      <c r="J7" s="182">
        <v>2.0099999999999998</v>
      </c>
      <c r="K7" s="181">
        <v>84.32</v>
      </c>
    </row>
    <row r="8" spans="1:11" x14ac:dyDescent="0.25">
      <c r="A8" s="183">
        <v>2011</v>
      </c>
      <c r="B8" s="182" t="s">
        <v>115</v>
      </c>
      <c r="C8" s="182">
        <v>882.54</v>
      </c>
      <c r="D8" s="182">
        <v>622.72</v>
      </c>
      <c r="E8" s="181">
        <v>472.34</v>
      </c>
      <c r="G8" s="183">
        <v>2011</v>
      </c>
      <c r="H8" s="182" t="s">
        <v>115</v>
      </c>
      <c r="I8" s="182">
        <v>412.02</v>
      </c>
      <c r="J8" s="182">
        <v>2.25</v>
      </c>
      <c r="K8" s="181">
        <v>91.16</v>
      </c>
    </row>
    <row r="9" spans="1:11" x14ac:dyDescent="0.25">
      <c r="A9" s="183">
        <v>2011</v>
      </c>
      <c r="B9" s="182" t="s">
        <v>114</v>
      </c>
      <c r="C9" s="182">
        <v>929.86</v>
      </c>
      <c r="D9" s="182">
        <v>783.66</v>
      </c>
      <c r="E9" s="181">
        <v>512.48</v>
      </c>
      <c r="G9" s="183">
        <v>2011</v>
      </c>
      <c r="H9" s="182" t="s">
        <v>114</v>
      </c>
      <c r="I9" s="182">
        <v>427.17</v>
      </c>
      <c r="J9" s="182">
        <v>3.01</v>
      </c>
      <c r="K9" s="181">
        <v>97.97</v>
      </c>
    </row>
    <row r="10" spans="1:11" x14ac:dyDescent="0.25">
      <c r="A10" s="183">
        <v>2011</v>
      </c>
      <c r="B10" s="182" t="s">
        <v>113</v>
      </c>
      <c r="C10" s="182">
        <v>880.8</v>
      </c>
      <c r="D10" s="182">
        <v>639.49</v>
      </c>
      <c r="E10" s="181">
        <v>545.16</v>
      </c>
      <c r="G10" s="183">
        <v>2011</v>
      </c>
      <c r="H10" s="182" t="s">
        <v>113</v>
      </c>
      <c r="I10" s="182">
        <v>414.8</v>
      </c>
      <c r="J10" s="182">
        <v>2.75</v>
      </c>
      <c r="K10" s="181">
        <v>94.6</v>
      </c>
    </row>
    <row r="11" spans="1:11" x14ac:dyDescent="0.25">
      <c r="A11" s="183">
        <v>2012</v>
      </c>
      <c r="B11" s="182" t="s">
        <v>112</v>
      </c>
      <c r="C11" s="182">
        <v>913.48</v>
      </c>
      <c r="D11" s="182">
        <v>261.57</v>
      </c>
      <c r="E11" s="181">
        <v>477.08</v>
      </c>
      <c r="G11" s="183">
        <v>2012</v>
      </c>
      <c r="H11" s="182" t="s">
        <v>112</v>
      </c>
      <c r="I11" s="182">
        <v>409.25</v>
      </c>
      <c r="J11" s="182">
        <v>0.75</v>
      </c>
      <c r="K11" s="181">
        <v>92.74</v>
      </c>
    </row>
    <row r="12" spans="1:11" x14ac:dyDescent="0.25">
      <c r="A12" s="183">
        <v>2012</v>
      </c>
      <c r="B12" s="182" t="s">
        <v>111</v>
      </c>
      <c r="C12" s="182">
        <v>825.32</v>
      </c>
      <c r="D12" s="182">
        <v>433.52</v>
      </c>
      <c r="E12" s="181">
        <v>507.33</v>
      </c>
      <c r="G12" s="183">
        <v>2012</v>
      </c>
      <c r="H12" s="182" t="s">
        <v>111</v>
      </c>
      <c r="I12" s="182">
        <v>385.45</v>
      </c>
      <c r="J12" s="182">
        <v>1.33</v>
      </c>
      <c r="K12" s="181">
        <v>90.12</v>
      </c>
    </row>
    <row r="13" spans="1:11" x14ac:dyDescent="0.25">
      <c r="A13" s="183">
        <v>2012</v>
      </c>
      <c r="B13" s="182" t="s">
        <v>110</v>
      </c>
      <c r="C13" s="182">
        <v>845.69</v>
      </c>
      <c r="D13" s="182">
        <v>444.29</v>
      </c>
      <c r="E13" s="181">
        <v>485.76</v>
      </c>
      <c r="G13" s="183">
        <v>2012</v>
      </c>
      <c r="H13" s="182" t="s">
        <v>110</v>
      </c>
      <c r="I13" s="182">
        <v>420.23</v>
      </c>
      <c r="J13" s="182">
        <v>1.35</v>
      </c>
      <c r="K13" s="181">
        <v>79.06</v>
      </c>
    </row>
    <row r="14" spans="1:11" x14ac:dyDescent="0.25">
      <c r="A14" s="183">
        <v>2012</v>
      </c>
      <c r="B14" s="182" t="s">
        <v>109</v>
      </c>
      <c r="C14" s="182">
        <v>882.47</v>
      </c>
      <c r="D14" s="182">
        <v>964.28</v>
      </c>
      <c r="E14" s="181">
        <v>503.92</v>
      </c>
      <c r="G14" s="183">
        <v>2012</v>
      </c>
      <c r="H14" s="182" t="s">
        <v>109</v>
      </c>
      <c r="I14" s="182">
        <v>712.93</v>
      </c>
      <c r="J14" s="182">
        <v>3.84</v>
      </c>
      <c r="K14" s="181">
        <v>86.97</v>
      </c>
    </row>
    <row r="15" spans="1:11" s="177" customFormat="1" ht="15.75" thickBot="1" x14ac:dyDescent="0.3">
      <c r="A15" s="180" t="s">
        <v>14</v>
      </c>
      <c r="B15" s="179"/>
      <c r="C15" s="179">
        <f>SUM(C3:C14)</f>
        <v>10893.269999999999</v>
      </c>
      <c r="D15" s="179">
        <f>SUM(D3:D14)</f>
        <v>8826.0299999999988</v>
      </c>
      <c r="E15" s="184">
        <f>SUM(E3:E14)</f>
        <v>6006.18</v>
      </c>
      <c r="G15" s="180" t="s">
        <v>14</v>
      </c>
      <c r="H15" s="179"/>
      <c r="I15" s="179">
        <f>SUM(I3:I14)</f>
        <v>5343.77</v>
      </c>
      <c r="J15" s="179">
        <f>SUM(J3:J14)</f>
        <v>32.549999999999997</v>
      </c>
      <c r="K15" s="184">
        <f>SUM(K3:K14)</f>
        <v>1074.3700000000001</v>
      </c>
    </row>
    <row r="17" spans="1:11" ht="15.75" thickBot="1" x14ac:dyDescent="0.3"/>
    <row r="18" spans="1:11" x14ac:dyDescent="0.25">
      <c r="A18" s="185" t="s">
        <v>125</v>
      </c>
      <c r="B18" s="186"/>
      <c r="C18" s="186"/>
      <c r="D18" s="186"/>
      <c r="E18" s="187"/>
      <c r="F18" s="188"/>
      <c r="G18" s="185" t="s">
        <v>124</v>
      </c>
      <c r="H18" s="186"/>
      <c r="I18" s="186"/>
      <c r="J18" s="186"/>
      <c r="K18" s="187"/>
    </row>
    <row r="19" spans="1:11" x14ac:dyDescent="0.25">
      <c r="A19" s="189"/>
      <c r="B19" s="190"/>
      <c r="C19" s="190" t="s">
        <v>21</v>
      </c>
      <c r="D19" s="190" t="s">
        <v>20</v>
      </c>
      <c r="E19" s="191" t="s">
        <v>19</v>
      </c>
      <c r="F19" s="188"/>
      <c r="G19" s="189"/>
      <c r="H19" s="190"/>
      <c r="I19" s="190" t="s">
        <v>21</v>
      </c>
      <c r="J19" s="190" t="s">
        <v>20</v>
      </c>
      <c r="K19" s="191" t="s">
        <v>19</v>
      </c>
    </row>
    <row r="20" spans="1:11" x14ac:dyDescent="0.25">
      <c r="A20" s="189">
        <v>2011</v>
      </c>
      <c r="B20" s="190" t="s">
        <v>52</v>
      </c>
      <c r="C20" s="190">
        <v>1119.6600000000001</v>
      </c>
      <c r="D20" s="190">
        <v>1350.48</v>
      </c>
      <c r="E20" s="191">
        <v>663.49</v>
      </c>
      <c r="F20" s="188"/>
      <c r="G20" s="189">
        <v>2011</v>
      </c>
      <c r="H20" s="190" t="s">
        <v>52</v>
      </c>
      <c r="I20" s="190">
        <v>247.53</v>
      </c>
      <c r="J20" s="190">
        <v>2.2599999999999998</v>
      </c>
      <c r="K20" s="191">
        <v>49.96</v>
      </c>
    </row>
    <row r="21" spans="1:11" x14ac:dyDescent="0.25">
      <c r="A21" s="189">
        <v>2011</v>
      </c>
      <c r="B21" s="190" t="s">
        <v>119</v>
      </c>
      <c r="C21" s="190">
        <v>1012.05</v>
      </c>
      <c r="D21" s="190">
        <v>1396.32</v>
      </c>
      <c r="E21" s="191">
        <v>703.71</v>
      </c>
      <c r="F21" s="188"/>
      <c r="G21" s="189">
        <v>2011</v>
      </c>
      <c r="H21" s="190" t="s">
        <v>119</v>
      </c>
      <c r="I21" s="190">
        <v>250.97</v>
      </c>
      <c r="J21" s="190">
        <v>2.37</v>
      </c>
      <c r="K21" s="191">
        <v>57.53</v>
      </c>
    </row>
    <row r="22" spans="1:11" x14ac:dyDescent="0.25">
      <c r="A22" s="189">
        <v>2011</v>
      </c>
      <c r="B22" s="190" t="s">
        <v>118</v>
      </c>
      <c r="C22" s="190">
        <v>589.87</v>
      </c>
      <c r="D22" s="190">
        <v>573.05999999999995</v>
      </c>
      <c r="E22" s="191">
        <v>361.38</v>
      </c>
      <c r="F22" s="188"/>
      <c r="G22" s="189">
        <v>2011</v>
      </c>
      <c r="H22" s="190" t="s">
        <v>118</v>
      </c>
      <c r="I22" s="190">
        <v>99.39</v>
      </c>
      <c r="J22" s="190">
        <v>0.57999999999999996</v>
      </c>
      <c r="K22" s="191">
        <v>33.08</v>
      </c>
    </row>
    <row r="23" spans="1:11" x14ac:dyDescent="0.25">
      <c r="A23" s="189">
        <v>2011</v>
      </c>
      <c r="B23" s="190" t="s">
        <v>117</v>
      </c>
      <c r="C23" s="190">
        <v>664.63</v>
      </c>
      <c r="D23" s="190">
        <v>504.61</v>
      </c>
      <c r="E23" s="191">
        <v>403.23</v>
      </c>
      <c r="F23" s="188"/>
      <c r="G23" s="189">
        <v>2011</v>
      </c>
      <c r="H23" s="190" t="s">
        <v>117</v>
      </c>
      <c r="I23" s="190">
        <v>103.72</v>
      </c>
      <c r="J23" s="190">
        <v>16.63</v>
      </c>
      <c r="K23" s="191">
        <v>37.130000000000003</v>
      </c>
    </row>
    <row r="24" spans="1:11" x14ac:dyDescent="0.25">
      <c r="A24" s="189">
        <v>2011</v>
      </c>
      <c r="B24" s="190" t="s">
        <v>116</v>
      </c>
      <c r="C24" s="190">
        <v>658.44</v>
      </c>
      <c r="D24" s="190">
        <v>381.84</v>
      </c>
      <c r="E24" s="191">
        <v>404.7</v>
      </c>
      <c r="F24" s="188"/>
      <c r="G24" s="189">
        <v>2011</v>
      </c>
      <c r="H24" s="190" t="s">
        <v>116</v>
      </c>
      <c r="I24" s="190">
        <v>99.04</v>
      </c>
      <c r="J24" s="190">
        <v>1.02</v>
      </c>
      <c r="K24" s="191">
        <v>36.06</v>
      </c>
    </row>
    <row r="25" spans="1:11" x14ac:dyDescent="0.25">
      <c r="A25" s="189">
        <v>2011</v>
      </c>
      <c r="B25" s="190" t="s">
        <v>115</v>
      </c>
      <c r="C25" s="190">
        <v>579.51</v>
      </c>
      <c r="D25" s="190">
        <v>423.09</v>
      </c>
      <c r="E25" s="191">
        <v>364.6</v>
      </c>
      <c r="F25" s="188"/>
      <c r="G25" s="189">
        <v>2011</v>
      </c>
      <c r="H25" s="190" t="s">
        <v>115</v>
      </c>
      <c r="I25" s="190">
        <v>95.25</v>
      </c>
      <c r="J25" s="190">
        <v>0.93</v>
      </c>
      <c r="K25" s="191">
        <v>37.9</v>
      </c>
    </row>
    <row r="26" spans="1:11" x14ac:dyDescent="0.25">
      <c r="A26" s="189">
        <v>2011</v>
      </c>
      <c r="B26" s="190" t="s">
        <v>114</v>
      </c>
      <c r="C26" s="190">
        <v>637.42999999999995</v>
      </c>
      <c r="D26" s="190">
        <v>657.35</v>
      </c>
      <c r="E26" s="191">
        <v>439.97</v>
      </c>
      <c r="F26" s="188"/>
      <c r="G26" s="189">
        <v>2011</v>
      </c>
      <c r="H26" s="190" t="s">
        <v>114</v>
      </c>
      <c r="I26" s="190">
        <v>97.52</v>
      </c>
      <c r="J26" s="190">
        <v>1.31</v>
      </c>
      <c r="K26" s="191">
        <v>37.04</v>
      </c>
    </row>
    <row r="27" spans="1:11" x14ac:dyDescent="0.25">
      <c r="A27" s="189">
        <v>2011</v>
      </c>
      <c r="B27" s="190" t="s">
        <v>113</v>
      </c>
      <c r="C27" s="190">
        <v>634.61</v>
      </c>
      <c r="D27" s="190">
        <v>573.9</v>
      </c>
      <c r="E27" s="191">
        <v>438.25</v>
      </c>
      <c r="F27" s="188"/>
      <c r="G27" s="189">
        <v>2011</v>
      </c>
      <c r="H27" s="190" t="s">
        <v>113</v>
      </c>
      <c r="I27" s="190">
        <v>92.16</v>
      </c>
      <c r="J27" s="190">
        <v>1.54</v>
      </c>
      <c r="K27" s="191">
        <v>37.92</v>
      </c>
    </row>
    <row r="28" spans="1:11" x14ac:dyDescent="0.25">
      <c r="A28" s="189">
        <v>2012</v>
      </c>
      <c r="B28" s="190" t="s">
        <v>112</v>
      </c>
      <c r="C28" s="190">
        <v>632.03</v>
      </c>
      <c r="D28" s="190">
        <v>245.59</v>
      </c>
      <c r="E28" s="191">
        <v>358.58</v>
      </c>
      <c r="F28" s="188"/>
      <c r="G28" s="189">
        <v>2012</v>
      </c>
      <c r="H28" s="190" t="s">
        <v>112</v>
      </c>
      <c r="I28" s="190">
        <v>98.24</v>
      </c>
      <c r="J28" s="190">
        <v>0.24</v>
      </c>
      <c r="K28" s="191">
        <v>35.619999999999997</v>
      </c>
    </row>
    <row r="29" spans="1:11" x14ac:dyDescent="0.25">
      <c r="A29" s="189">
        <v>2012</v>
      </c>
      <c r="B29" s="190" t="s">
        <v>111</v>
      </c>
      <c r="C29" s="190">
        <v>557.85</v>
      </c>
      <c r="D29" s="190">
        <v>313.33999999999997</v>
      </c>
      <c r="E29" s="191">
        <v>379.37</v>
      </c>
      <c r="F29" s="188"/>
      <c r="G29" s="189">
        <v>2012</v>
      </c>
      <c r="H29" s="190" t="s">
        <v>111</v>
      </c>
      <c r="I29" s="190">
        <v>89.07</v>
      </c>
      <c r="J29" s="190">
        <v>0.38</v>
      </c>
      <c r="K29" s="191">
        <v>32.93</v>
      </c>
    </row>
    <row r="30" spans="1:11" x14ac:dyDescent="0.25">
      <c r="A30" s="189">
        <v>2012</v>
      </c>
      <c r="B30" s="190" t="s">
        <v>110</v>
      </c>
      <c r="C30" s="190">
        <v>595.64</v>
      </c>
      <c r="D30" s="190">
        <v>362.8</v>
      </c>
      <c r="E30" s="191">
        <v>394.52</v>
      </c>
      <c r="F30" s="188"/>
      <c r="G30" s="189">
        <v>2012</v>
      </c>
      <c r="H30" s="190" t="s">
        <v>110</v>
      </c>
      <c r="I30" s="190">
        <v>97.83</v>
      </c>
      <c r="J30" s="190">
        <v>0.4</v>
      </c>
      <c r="K30" s="191">
        <v>33.67</v>
      </c>
    </row>
    <row r="31" spans="1:11" x14ac:dyDescent="0.25">
      <c r="A31" s="189">
        <v>2012</v>
      </c>
      <c r="B31" s="190" t="s">
        <v>109</v>
      </c>
      <c r="C31" s="190">
        <v>577.34</v>
      </c>
      <c r="D31" s="190">
        <v>678.17</v>
      </c>
      <c r="E31" s="191">
        <v>356.25</v>
      </c>
      <c r="F31" s="188"/>
      <c r="G31" s="189">
        <v>2012</v>
      </c>
      <c r="H31" s="190" t="s">
        <v>109</v>
      </c>
      <c r="I31" s="190">
        <v>94.69</v>
      </c>
      <c r="J31" s="190">
        <v>0.6</v>
      </c>
      <c r="K31" s="191">
        <v>35.44</v>
      </c>
    </row>
    <row r="32" spans="1:11" s="177" customFormat="1" ht="15.75" thickBot="1" x14ac:dyDescent="0.3">
      <c r="A32" s="192" t="s">
        <v>14</v>
      </c>
      <c r="B32" s="193"/>
      <c r="C32" s="193">
        <f>SUM(C20:C31)</f>
        <v>8259.06</v>
      </c>
      <c r="D32" s="193">
        <f>SUM(D20:D31)</f>
        <v>7460.5500000000011</v>
      </c>
      <c r="E32" s="193">
        <f>SUM(E20:E31)</f>
        <v>5268.0499999999993</v>
      </c>
      <c r="F32" s="194"/>
      <c r="G32" s="192" t="s">
        <v>14</v>
      </c>
      <c r="H32" s="193"/>
      <c r="I32" s="193">
        <f>SUM(I20:I31)</f>
        <v>1465.4099999999999</v>
      </c>
      <c r="J32" s="193">
        <f>SUM(J20:J31)</f>
        <v>28.259999999999994</v>
      </c>
      <c r="K32" s="193">
        <f>SUM(K20:K31)</f>
        <v>464.28000000000003</v>
      </c>
    </row>
    <row r="33" spans="1:11" x14ac:dyDescent="0.25">
      <c r="A33" s="188"/>
      <c r="B33" s="188"/>
      <c r="C33" s="188"/>
      <c r="D33" s="188"/>
      <c r="E33" s="188"/>
      <c r="F33" s="188"/>
      <c r="G33" s="188"/>
      <c r="H33" s="188"/>
      <c r="I33" s="188"/>
      <c r="J33" s="188"/>
      <c r="K33" s="188"/>
    </row>
    <row r="34" spans="1:11" ht="15.75" thickBot="1" x14ac:dyDescent="0.3">
      <c r="A34" s="188"/>
      <c r="B34" s="188"/>
      <c r="C34" s="188"/>
      <c r="D34" s="188"/>
      <c r="E34" s="188"/>
      <c r="F34" s="188"/>
      <c r="G34" s="188"/>
      <c r="H34" s="188"/>
      <c r="I34" s="188"/>
      <c r="J34" s="188"/>
      <c r="K34" s="188"/>
    </row>
    <row r="35" spans="1:11" x14ac:dyDescent="0.25">
      <c r="A35" s="185" t="s">
        <v>123</v>
      </c>
      <c r="B35" s="186"/>
      <c r="C35" s="186"/>
      <c r="D35" s="186"/>
      <c r="E35" s="187"/>
      <c r="F35" s="188"/>
      <c r="G35" s="185" t="s">
        <v>122</v>
      </c>
      <c r="H35" s="186"/>
      <c r="I35" s="186"/>
      <c r="J35" s="186"/>
      <c r="K35" s="187"/>
    </row>
    <row r="36" spans="1:11" x14ac:dyDescent="0.25">
      <c r="A36" s="189"/>
      <c r="B36" s="190"/>
      <c r="C36" s="190" t="s">
        <v>21</v>
      </c>
      <c r="D36" s="190" t="s">
        <v>20</v>
      </c>
      <c r="E36" s="191" t="s">
        <v>19</v>
      </c>
      <c r="F36" s="188"/>
      <c r="G36" s="189"/>
      <c r="H36" s="190"/>
      <c r="I36" s="190" t="s">
        <v>21</v>
      </c>
      <c r="J36" s="190" t="s">
        <v>20</v>
      </c>
      <c r="K36" s="191" t="s">
        <v>19</v>
      </c>
    </row>
    <row r="37" spans="1:11" x14ac:dyDescent="0.25">
      <c r="A37" s="189">
        <v>2011</v>
      </c>
      <c r="B37" s="190" t="s">
        <v>52</v>
      </c>
      <c r="C37" s="190"/>
      <c r="D37" s="190"/>
      <c r="E37" s="191"/>
      <c r="F37" s="188"/>
      <c r="G37" s="189">
        <v>2011</v>
      </c>
      <c r="H37" s="190" t="s">
        <v>52</v>
      </c>
      <c r="I37" s="190"/>
      <c r="J37" s="190"/>
      <c r="K37" s="191"/>
    </row>
    <row r="38" spans="1:11" x14ac:dyDescent="0.25">
      <c r="A38" s="189">
        <v>2011</v>
      </c>
      <c r="B38" s="190" t="s">
        <v>119</v>
      </c>
      <c r="C38" s="190"/>
      <c r="D38" s="190"/>
      <c r="E38" s="191"/>
      <c r="F38" s="188"/>
      <c r="G38" s="189">
        <v>2011</v>
      </c>
      <c r="H38" s="190" t="s">
        <v>119</v>
      </c>
      <c r="I38" s="190"/>
      <c r="J38" s="190"/>
      <c r="K38" s="191"/>
    </row>
    <row r="39" spans="1:11" x14ac:dyDescent="0.25">
      <c r="A39" s="189">
        <v>2011</v>
      </c>
      <c r="B39" s="190" t="s">
        <v>118</v>
      </c>
      <c r="C39" s="190"/>
      <c r="D39" s="190"/>
      <c r="E39" s="191"/>
      <c r="F39" s="188"/>
      <c r="G39" s="189">
        <v>2011</v>
      </c>
      <c r="H39" s="190" t="s">
        <v>118</v>
      </c>
      <c r="I39" s="190"/>
      <c r="J39" s="190"/>
      <c r="K39" s="191"/>
    </row>
    <row r="40" spans="1:11" x14ac:dyDescent="0.25">
      <c r="A40" s="189">
        <v>2011</v>
      </c>
      <c r="B40" s="190" t="s">
        <v>117</v>
      </c>
      <c r="C40" s="190"/>
      <c r="D40" s="190"/>
      <c r="E40" s="191"/>
      <c r="F40" s="188"/>
      <c r="G40" s="189">
        <v>2011</v>
      </c>
      <c r="H40" s="190" t="s">
        <v>117</v>
      </c>
      <c r="I40" s="190"/>
      <c r="J40" s="190"/>
      <c r="K40" s="191"/>
    </row>
    <row r="41" spans="1:11" x14ac:dyDescent="0.25">
      <c r="A41" s="189">
        <v>2011</v>
      </c>
      <c r="B41" s="190" t="s">
        <v>116</v>
      </c>
      <c r="C41" s="190"/>
      <c r="D41" s="190"/>
      <c r="E41" s="191"/>
      <c r="F41" s="188"/>
      <c r="G41" s="189">
        <v>2011</v>
      </c>
      <c r="H41" s="190" t="s">
        <v>116</v>
      </c>
      <c r="I41" s="190"/>
      <c r="J41" s="190"/>
      <c r="K41" s="191"/>
    </row>
    <row r="42" spans="1:11" x14ac:dyDescent="0.25">
      <c r="A42" s="189">
        <v>2011</v>
      </c>
      <c r="B42" s="190" t="s">
        <v>115</v>
      </c>
      <c r="C42" s="190"/>
      <c r="D42" s="190"/>
      <c r="E42" s="191"/>
      <c r="F42" s="188"/>
      <c r="G42" s="189">
        <v>2011</v>
      </c>
      <c r="H42" s="190" t="s">
        <v>115</v>
      </c>
      <c r="I42" s="190"/>
      <c r="J42" s="190"/>
      <c r="K42" s="191"/>
    </row>
    <row r="43" spans="1:11" x14ac:dyDescent="0.25">
      <c r="A43" s="189">
        <v>2011</v>
      </c>
      <c r="B43" s="190" t="s">
        <v>114</v>
      </c>
      <c r="C43" s="190"/>
      <c r="D43" s="190"/>
      <c r="E43" s="191"/>
      <c r="F43" s="188"/>
      <c r="G43" s="189">
        <v>2011</v>
      </c>
      <c r="H43" s="190" t="s">
        <v>114</v>
      </c>
      <c r="I43" s="190"/>
      <c r="J43" s="190"/>
      <c r="K43" s="191"/>
    </row>
    <row r="44" spans="1:11" x14ac:dyDescent="0.25">
      <c r="A44" s="189">
        <v>2011</v>
      </c>
      <c r="B44" s="190" t="s">
        <v>113</v>
      </c>
      <c r="C44" s="190"/>
      <c r="D44" s="190"/>
      <c r="E44" s="191"/>
      <c r="F44" s="188"/>
      <c r="G44" s="189">
        <v>2011</v>
      </c>
      <c r="H44" s="190" t="s">
        <v>113</v>
      </c>
      <c r="I44" s="190"/>
      <c r="J44" s="190"/>
      <c r="K44" s="191"/>
    </row>
    <row r="45" spans="1:11" x14ac:dyDescent="0.25">
      <c r="A45" s="189">
        <v>2012</v>
      </c>
      <c r="B45" s="190" t="s">
        <v>112</v>
      </c>
      <c r="C45" s="190">
        <v>1483.31</v>
      </c>
      <c r="D45" s="190">
        <v>335.9</v>
      </c>
      <c r="E45" s="191">
        <v>581.65</v>
      </c>
      <c r="F45" s="188"/>
      <c r="G45" s="189">
        <v>2012</v>
      </c>
      <c r="H45" s="190" t="s">
        <v>112</v>
      </c>
      <c r="I45" s="190">
        <v>57.18</v>
      </c>
      <c r="J45" s="190">
        <v>0.02</v>
      </c>
      <c r="K45" s="191">
        <v>12.07</v>
      </c>
    </row>
    <row r="46" spans="1:11" x14ac:dyDescent="0.25">
      <c r="A46" s="189">
        <v>2012</v>
      </c>
      <c r="B46" s="190" t="s">
        <v>111</v>
      </c>
      <c r="C46" s="190">
        <v>1374.06</v>
      </c>
      <c r="D46" s="190">
        <v>494.57</v>
      </c>
      <c r="E46" s="191">
        <v>651.64</v>
      </c>
      <c r="F46" s="188"/>
      <c r="G46" s="189">
        <v>2012</v>
      </c>
      <c r="H46" s="190" t="s">
        <v>111</v>
      </c>
      <c r="I46" s="190">
        <v>54.61</v>
      </c>
      <c r="J46" s="190">
        <v>0.01</v>
      </c>
      <c r="K46" s="191">
        <v>9.52</v>
      </c>
    </row>
    <row r="47" spans="1:11" x14ac:dyDescent="0.25">
      <c r="A47" s="189">
        <v>2012</v>
      </c>
      <c r="B47" s="190" t="s">
        <v>110</v>
      </c>
      <c r="C47" s="190">
        <v>1384.62</v>
      </c>
      <c r="D47" s="190">
        <v>470.81</v>
      </c>
      <c r="E47" s="191">
        <v>584.54</v>
      </c>
      <c r="F47" s="188"/>
      <c r="G47" s="189">
        <v>2012</v>
      </c>
      <c r="H47" s="190" t="s">
        <v>110</v>
      </c>
      <c r="I47" s="190">
        <v>57.05</v>
      </c>
      <c r="J47" s="190">
        <v>0.02</v>
      </c>
      <c r="K47" s="191">
        <v>10.83</v>
      </c>
    </row>
    <row r="48" spans="1:11" x14ac:dyDescent="0.25">
      <c r="A48" s="189">
        <v>2012</v>
      </c>
      <c r="B48" s="190" t="s">
        <v>109</v>
      </c>
      <c r="C48" s="190">
        <v>1443.14</v>
      </c>
      <c r="D48" s="190">
        <v>839.11</v>
      </c>
      <c r="E48" s="191">
        <v>613.61</v>
      </c>
      <c r="F48" s="188"/>
      <c r="G48" s="189">
        <v>2012</v>
      </c>
      <c r="H48" s="190" t="s">
        <v>109</v>
      </c>
      <c r="I48" s="190">
        <v>56.74</v>
      </c>
      <c r="J48" s="190">
        <v>0.03</v>
      </c>
      <c r="K48" s="191">
        <v>10.050000000000001</v>
      </c>
    </row>
    <row r="49" spans="1:11" s="177" customFormat="1" ht="15.75" thickBot="1" x14ac:dyDescent="0.3">
      <c r="A49" s="192" t="s">
        <v>14</v>
      </c>
      <c r="B49" s="193"/>
      <c r="C49" s="193">
        <f>SUM(C37:C48)</f>
        <v>5685.13</v>
      </c>
      <c r="D49" s="193">
        <f>SUM(D37:D48)</f>
        <v>2140.39</v>
      </c>
      <c r="E49" s="193">
        <f>SUM(E37:E48)</f>
        <v>2431.44</v>
      </c>
      <c r="F49" s="194"/>
      <c r="G49" s="192" t="s">
        <v>14</v>
      </c>
      <c r="H49" s="193"/>
      <c r="I49" s="193">
        <f>SUM(I37:I48)</f>
        <v>225.57999999999998</v>
      </c>
      <c r="J49" s="193">
        <f>SUM(J37:J48)</f>
        <v>0.08</v>
      </c>
      <c r="K49" s="193">
        <f>SUM(K37:K48)</f>
        <v>42.47</v>
      </c>
    </row>
    <row r="50" spans="1:11" x14ac:dyDescent="0.25">
      <c r="A50" s="188"/>
      <c r="B50" s="188"/>
      <c r="C50" s="188"/>
      <c r="D50" s="188"/>
      <c r="E50" s="188"/>
      <c r="F50" s="188"/>
      <c r="G50" s="188"/>
      <c r="H50" s="188"/>
      <c r="I50" s="188"/>
      <c r="J50" s="188"/>
      <c r="K50" s="188"/>
    </row>
    <row r="51" spans="1:11" ht="15.75" thickBot="1" x14ac:dyDescent="0.3">
      <c r="A51" s="188"/>
      <c r="B51" s="188"/>
      <c r="C51" s="188"/>
      <c r="D51" s="188"/>
      <c r="E51" s="188"/>
      <c r="F51" s="188"/>
      <c r="G51" s="188"/>
      <c r="H51" s="188"/>
      <c r="I51" s="188"/>
      <c r="J51" s="188"/>
      <c r="K51" s="188"/>
    </row>
    <row r="52" spans="1:11" x14ac:dyDescent="0.25">
      <c r="A52" s="185" t="s">
        <v>121</v>
      </c>
      <c r="B52" s="186"/>
      <c r="C52" s="186"/>
      <c r="D52" s="186"/>
      <c r="E52" s="187"/>
      <c r="F52" s="188"/>
      <c r="G52" s="185" t="s">
        <v>120</v>
      </c>
      <c r="H52" s="186"/>
      <c r="I52" s="186"/>
      <c r="J52" s="186"/>
      <c r="K52" s="187"/>
    </row>
    <row r="53" spans="1:11" x14ac:dyDescent="0.25">
      <c r="A53" s="189"/>
      <c r="B53" s="190"/>
      <c r="C53" s="190" t="s">
        <v>21</v>
      </c>
      <c r="D53" s="190" t="s">
        <v>20</v>
      </c>
      <c r="E53" s="191" t="s">
        <v>19</v>
      </c>
      <c r="F53" s="188"/>
      <c r="G53" s="189"/>
      <c r="H53" s="190"/>
      <c r="I53" s="190" t="s">
        <v>21</v>
      </c>
      <c r="J53" s="190" t="s">
        <v>20</v>
      </c>
      <c r="K53" s="191" t="s">
        <v>19</v>
      </c>
    </row>
    <row r="54" spans="1:11" x14ac:dyDescent="0.25">
      <c r="A54" s="189">
        <v>2011</v>
      </c>
      <c r="B54" s="190" t="s">
        <v>52</v>
      </c>
      <c r="C54" s="190"/>
      <c r="D54" s="190"/>
      <c r="E54" s="191"/>
      <c r="F54" s="188"/>
      <c r="G54" s="189">
        <v>2011</v>
      </c>
      <c r="H54" s="190" t="s">
        <v>52</v>
      </c>
      <c r="I54" s="190"/>
      <c r="J54" s="190"/>
      <c r="K54" s="191"/>
    </row>
    <row r="55" spans="1:11" x14ac:dyDescent="0.25">
      <c r="A55" s="189">
        <v>2011</v>
      </c>
      <c r="B55" s="190" t="s">
        <v>119</v>
      </c>
      <c r="C55" s="190"/>
      <c r="D55" s="190"/>
      <c r="E55" s="191"/>
      <c r="F55" s="188"/>
      <c r="G55" s="189">
        <v>2011</v>
      </c>
      <c r="H55" s="190" t="s">
        <v>119</v>
      </c>
      <c r="I55" s="190"/>
      <c r="J55" s="190"/>
      <c r="K55" s="191"/>
    </row>
    <row r="56" spans="1:11" x14ac:dyDescent="0.25">
      <c r="A56" s="189">
        <v>2011</v>
      </c>
      <c r="B56" s="190" t="s">
        <v>118</v>
      </c>
      <c r="C56" s="190"/>
      <c r="D56" s="190"/>
      <c r="E56" s="191"/>
      <c r="F56" s="188"/>
      <c r="G56" s="189">
        <v>2011</v>
      </c>
      <c r="H56" s="190" t="s">
        <v>118</v>
      </c>
      <c r="I56" s="190"/>
      <c r="J56" s="190"/>
      <c r="K56" s="191"/>
    </row>
    <row r="57" spans="1:11" x14ac:dyDescent="0.25">
      <c r="A57" s="189">
        <v>2011</v>
      </c>
      <c r="B57" s="190" t="s">
        <v>117</v>
      </c>
      <c r="C57" s="190"/>
      <c r="D57" s="190"/>
      <c r="E57" s="191"/>
      <c r="F57" s="188"/>
      <c r="G57" s="189">
        <v>2011</v>
      </c>
      <c r="H57" s="190" t="s">
        <v>117</v>
      </c>
      <c r="I57" s="190"/>
      <c r="J57" s="190"/>
      <c r="K57" s="191"/>
    </row>
    <row r="58" spans="1:11" x14ac:dyDescent="0.25">
      <c r="A58" s="189">
        <v>2011</v>
      </c>
      <c r="B58" s="190" t="s">
        <v>116</v>
      </c>
      <c r="C58" s="190"/>
      <c r="D58" s="190"/>
      <c r="E58" s="191"/>
      <c r="F58" s="188"/>
      <c r="G58" s="189">
        <v>2011</v>
      </c>
      <c r="H58" s="190" t="s">
        <v>116</v>
      </c>
      <c r="I58" s="190"/>
      <c r="J58" s="190"/>
      <c r="K58" s="191"/>
    </row>
    <row r="59" spans="1:11" x14ac:dyDescent="0.25">
      <c r="A59" s="189">
        <v>2011</v>
      </c>
      <c r="B59" s="190" t="s">
        <v>115</v>
      </c>
      <c r="C59" s="190"/>
      <c r="D59" s="190"/>
      <c r="E59" s="191"/>
      <c r="F59" s="188"/>
      <c r="G59" s="189">
        <v>2011</v>
      </c>
      <c r="H59" s="190" t="s">
        <v>115</v>
      </c>
      <c r="I59" s="190"/>
      <c r="J59" s="190"/>
      <c r="K59" s="191"/>
    </row>
    <row r="60" spans="1:11" x14ac:dyDescent="0.25">
      <c r="A60" s="189">
        <v>2011</v>
      </c>
      <c r="B60" s="190" t="s">
        <v>114</v>
      </c>
      <c r="C60" s="190"/>
      <c r="D60" s="190"/>
      <c r="E60" s="191"/>
      <c r="F60" s="188"/>
      <c r="G60" s="189">
        <v>2011</v>
      </c>
      <c r="H60" s="190" t="s">
        <v>114</v>
      </c>
      <c r="I60" s="190"/>
      <c r="J60" s="190"/>
      <c r="K60" s="191"/>
    </row>
    <row r="61" spans="1:11" x14ac:dyDescent="0.25">
      <c r="A61" s="189">
        <v>2011</v>
      </c>
      <c r="B61" s="190" t="s">
        <v>113</v>
      </c>
      <c r="C61" s="190"/>
      <c r="D61" s="190"/>
      <c r="E61" s="191"/>
      <c r="F61" s="188"/>
      <c r="G61" s="189">
        <v>2011</v>
      </c>
      <c r="H61" s="190" t="s">
        <v>113</v>
      </c>
      <c r="I61" s="190"/>
      <c r="J61" s="190"/>
      <c r="K61" s="191"/>
    </row>
    <row r="62" spans="1:11" x14ac:dyDescent="0.25">
      <c r="A62" s="189">
        <v>2012</v>
      </c>
      <c r="B62" s="190" t="s">
        <v>112</v>
      </c>
      <c r="C62" s="190">
        <v>244.5</v>
      </c>
      <c r="D62" s="190">
        <v>94.71</v>
      </c>
      <c r="E62" s="191">
        <v>117.96</v>
      </c>
      <c r="F62" s="188"/>
      <c r="G62" s="189">
        <v>2012</v>
      </c>
      <c r="H62" s="190" t="s">
        <v>112</v>
      </c>
      <c r="I62" s="190">
        <v>44.29</v>
      </c>
      <c r="J62" s="190">
        <v>0</v>
      </c>
      <c r="K62" s="191">
        <v>10.45</v>
      </c>
    </row>
    <row r="63" spans="1:11" x14ac:dyDescent="0.25">
      <c r="A63" s="189">
        <v>2012</v>
      </c>
      <c r="B63" s="190" t="s">
        <v>111</v>
      </c>
      <c r="C63" s="190">
        <v>248.98</v>
      </c>
      <c r="D63" s="190">
        <v>109.18</v>
      </c>
      <c r="E63" s="191">
        <v>113.11</v>
      </c>
      <c r="F63" s="188"/>
      <c r="G63" s="189">
        <v>2012</v>
      </c>
      <c r="H63" s="190" t="s">
        <v>111</v>
      </c>
      <c r="I63" s="190">
        <v>42.8</v>
      </c>
      <c r="J63" s="190">
        <v>0</v>
      </c>
      <c r="K63" s="191">
        <v>7.07</v>
      </c>
    </row>
    <row r="64" spans="1:11" x14ac:dyDescent="0.25">
      <c r="A64" s="189">
        <v>2012</v>
      </c>
      <c r="B64" s="190" t="s">
        <v>110</v>
      </c>
      <c r="C64" s="190">
        <v>228.82</v>
      </c>
      <c r="D64" s="190">
        <v>95.6</v>
      </c>
      <c r="E64" s="191">
        <v>99.39</v>
      </c>
      <c r="F64" s="188"/>
      <c r="G64" s="189">
        <v>2012</v>
      </c>
      <c r="H64" s="190" t="s">
        <v>110</v>
      </c>
      <c r="I64" s="190">
        <v>42.87</v>
      </c>
      <c r="J64" s="190">
        <v>0</v>
      </c>
      <c r="K64" s="191">
        <v>7.21</v>
      </c>
    </row>
    <row r="65" spans="1:11" x14ac:dyDescent="0.25">
      <c r="A65" s="189">
        <v>2012</v>
      </c>
      <c r="B65" s="190" t="s">
        <v>109</v>
      </c>
      <c r="C65" s="190">
        <v>266.12</v>
      </c>
      <c r="D65" s="190">
        <v>240.06</v>
      </c>
      <c r="E65" s="191">
        <v>111.46</v>
      </c>
      <c r="F65" s="188"/>
      <c r="G65" s="189">
        <v>2012</v>
      </c>
      <c r="H65" s="190" t="s">
        <v>109</v>
      </c>
      <c r="I65" s="190">
        <v>48.6</v>
      </c>
      <c r="J65" s="190">
        <v>0</v>
      </c>
      <c r="K65" s="191">
        <v>6.32</v>
      </c>
    </row>
    <row r="66" spans="1:11" s="177" customFormat="1" ht="15.75" thickBot="1" x14ac:dyDescent="0.3">
      <c r="A66" s="192" t="s">
        <v>14</v>
      </c>
      <c r="B66" s="193"/>
      <c r="C66" s="193">
        <f>SUM(C54:C65)</f>
        <v>988.42</v>
      </c>
      <c r="D66" s="193">
        <f>SUM(D54:D65)</f>
        <v>539.54999999999995</v>
      </c>
      <c r="E66" s="193">
        <f>SUM(E54:E65)</f>
        <v>441.91999999999996</v>
      </c>
      <c r="F66" s="194"/>
      <c r="G66" s="192" t="s">
        <v>14</v>
      </c>
      <c r="H66" s="193"/>
      <c r="I66" s="193">
        <f>SUM(I54:I65)</f>
        <v>178.56</v>
      </c>
      <c r="J66" s="193">
        <f>SUM(J54:J65)</f>
        <v>0</v>
      </c>
      <c r="K66" s="193">
        <f>SUM(K54:K65)</f>
        <v>31.05</v>
      </c>
    </row>
    <row r="67" spans="1:11" x14ac:dyDescent="0.25">
      <c r="A67" s="188"/>
      <c r="B67" s="188"/>
      <c r="C67" s="188"/>
      <c r="D67" s="188"/>
      <c r="E67" s="188"/>
      <c r="F67" s="188"/>
      <c r="G67" s="188"/>
      <c r="H67" s="188"/>
      <c r="I67" s="188"/>
      <c r="J67" s="188"/>
      <c r="K67" s="188"/>
    </row>
    <row r="68" spans="1:11" x14ac:dyDescent="0.25">
      <c r="A68" s="188"/>
      <c r="B68" s="188"/>
      <c r="C68" s="188"/>
      <c r="D68" s="188"/>
      <c r="E68" s="188"/>
      <c r="F68" s="188"/>
      <c r="G68" s="188"/>
      <c r="H68" s="188"/>
      <c r="I68" s="188"/>
      <c r="J68" s="188"/>
      <c r="K68" s="188"/>
    </row>
    <row r="69" spans="1:11" s="178" customFormat="1" ht="15.75" x14ac:dyDescent="0.25">
      <c r="A69" s="195" t="s">
        <v>108</v>
      </c>
      <c r="B69" s="195"/>
      <c r="C69" s="195">
        <f>C32+C49+C66</f>
        <v>14932.609999999999</v>
      </c>
      <c r="D69" s="195">
        <f>D32+D49+D66</f>
        <v>10140.49</v>
      </c>
      <c r="E69" s="195">
        <f>E32+E49+E66</f>
        <v>8141.41</v>
      </c>
      <c r="F69" s="195"/>
      <c r="G69" s="195"/>
      <c r="H69" s="195"/>
      <c r="I69" s="195">
        <f>I32+I49+I66</f>
        <v>1869.5499999999997</v>
      </c>
      <c r="J69" s="195">
        <f>J32+J49+J66</f>
        <v>28.339999999999993</v>
      </c>
      <c r="K69" s="195">
        <f>K32+K49+K66</f>
        <v>537.79999999999995</v>
      </c>
    </row>
  </sheetData>
  <pageMargins left="0.7" right="0.7" top="0.75" bottom="0.75" header="0.3" footer="0.3"/>
  <pageSetup scale="65"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W124"/>
  <sheetViews>
    <sheetView zoomScale="80" zoomScaleNormal="80" workbookViewId="0">
      <selection activeCell="B26" sqref="B26"/>
    </sheetView>
  </sheetViews>
  <sheetFormatPr defaultRowHeight="15" x14ac:dyDescent="0.25"/>
  <cols>
    <col min="1" max="1" width="9.140625" style="134"/>
    <col min="2" max="2" width="17.7109375" style="134" bestFit="1" customWidth="1"/>
    <col min="3" max="4" width="12" style="134" customWidth="1"/>
    <col min="5" max="5" width="12.28515625" style="134" customWidth="1"/>
    <col min="6" max="9" width="12" style="134" customWidth="1"/>
    <col min="10" max="10" width="12.85546875" style="134" customWidth="1"/>
    <col min="11" max="14" width="12" style="134" customWidth="1"/>
    <col min="15" max="15" width="23.140625" style="134" bestFit="1" customWidth="1"/>
    <col min="16" max="16" width="12" style="134" customWidth="1"/>
    <col min="17" max="17" width="18.42578125" style="134" customWidth="1"/>
    <col min="18" max="18" width="9.140625" style="134"/>
    <col min="19" max="19" width="9.140625" style="134" customWidth="1"/>
    <col min="20" max="20" width="35.7109375" style="134" customWidth="1"/>
    <col min="21" max="21" width="32.140625" style="134" customWidth="1"/>
    <col min="22" max="16384" width="9.140625" style="134"/>
  </cols>
  <sheetData>
    <row r="1" spans="2:21" ht="15.75" thickBot="1" x14ac:dyDescent="0.3">
      <c r="B1" s="241" t="s">
        <v>140</v>
      </c>
      <c r="C1" s="241"/>
      <c r="D1" s="241"/>
      <c r="E1" s="241"/>
      <c r="F1" s="241"/>
      <c r="G1" s="241"/>
      <c r="H1" s="241"/>
      <c r="I1" s="241"/>
      <c r="J1" s="241"/>
      <c r="K1" s="241"/>
      <c r="L1" s="241"/>
      <c r="M1" s="241"/>
      <c r="N1" s="241"/>
    </row>
    <row r="2" spans="2:21" ht="41.25" customHeight="1" thickBot="1" x14ac:dyDescent="0.3">
      <c r="B2" s="131" t="s">
        <v>78</v>
      </c>
      <c r="C2" s="132" t="s">
        <v>79</v>
      </c>
      <c r="D2" s="132" t="s">
        <v>80</v>
      </c>
      <c r="E2" s="132" t="s">
        <v>81</v>
      </c>
      <c r="F2" s="132" t="s">
        <v>82</v>
      </c>
      <c r="G2" s="132" t="s">
        <v>83</v>
      </c>
      <c r="H2" s="132" t="s">
        <v>84</v>
      </c>
      <c r="I2" s="132" t="s">
        <v>85</v>
      </c>
      <c r="J2" s="132" t="s">
        <v>86</v>
      </c>
      <c r="K2" s="132" t="s">
        <v>87</v>
      </c>
      <c r="L2" s="132" t="s">
        <v>88</v>
      </c>
      <c r="M2" s="132" t="s">
        <v>89</v>
      </c>
      <c r="N2" s="133" t="s">
        <v>14</v>
      </c>
    </row>
    <row r="3" spans="2:21" x14ac:dyDescent="0.25">
      <c r="B3" s="135">
        <v>41030</v>
      </c>
      <c r="C3" s="136">
        <v>0</v>
      </c>
      <c r="D3" s="137">
        <v>4</v>
      </c>
      <c r="E3" s="137">
        <v>2</v>
      </c>
      <c r="F3" s="137">
        <v>2</v>
      </c>
      <c r="G3" s="137">
        <v>3</v>
      </c>
      <c r="H3" s="137">
        <v>1</v>
      </c>
      <c r="I3" s="137">
        <v>0.5</v>
      </c>
      <c r="J3" s="137">
        <v>1</v>
      </c>
      <c r="K3" s="137">
        <v>40</v>
      </c>
      <c r="L3" s="137">
        <v>25</v>
      </c>
      <c r="M3" s="137"/>
      <c r="N3" s="138">
        <f t="shared" ref="N3:N15" si="0">SUM(C3:M3)</f>
        <v>78.5</v>
      </c>
    </row>
    <row r="4" spans="2:21" x14ac:dyDescent="0.25">
      <c r="B4" s="135">
        <v>41061</v>
      </c>
      <c r="C4" s="136">
        <v>0</v>
      </c>
      <c r="D4" s="137">
        <v>4</v>
      </c>
      <c r="E4" s="137">
        <v>1.5</v>
      </c>
      <c r="F4" s="137">
        <v>1.5</v>
      </c>
      <c r="G4" s="137">
        <v>1.5</v>
      </c>
      <c r="H4" s="137">
        <v>1</v>
      </c>
      <c r="I4" s="137">
        <v>0.5</v>
      </c>
      <c r="J4" s="137">
        <v>1</v>
      </c>
      <c r="K4" s="137">
        <v>30</v>
      </c>
      <c r="L4" s="137">
        <v>10</v>
      </c>
      <c r="M4" s="137"/>
      <c r="N4" s="138">
        <f t="shared" si="0"/>
        <v>51</v>
      </c>
    </row>
    <row r="5" spans="2:21" x14ac:dyDescent="0.25">
      <c r="B5" s="135">
        <v>41091</v>
      </c>
      <c r="C5" s="136">
        <v>0</v>
      </c>
      <c r="D5" s="137">
        <v>3</v>
      </c>
      <c r="E5" s="137">
        <v>2</v>
      </c>
      <c r="F5" s="137">
        <v>2</v>
      </c>
      <c r="G5" s="137">
        <v>2</v>
      </c>
      <c r="H5" s="137">
        <v>1</v>
      </c>
      <c r="I5" s="137">
        <v>0.5</v>
      </c>
      <c r="J5" s="137">
        <v>1</v>
      </c>
      <c r="K5" s="137">
        <v>20</v>
      </c>
      <c r="L5" s="136">
        <v>0</v>
      </c>
      <c r="M5" s="137"/>
      <c r="N5" s="138">
        <f t="shared" si="0"/>
        <v>31.5</v>
      </c>
    </row>
    <row r="6" spans="2:21" x14ac:dyDescent="0.25">
      <c r="B6" s="139">
        <v>41122</v>
      </c>
      <c r="C6" s="136">
        <v>0</v>
      </c>
      <c r="D6" s="199"/>
      <c r="E6" s="199"/>
      <c r="F6" s="199"/>
      <c r="G6" s="199"/>
      <c r="H6" s="199"/>
      <c r="I6" s="199"/>
      <c r="J6" s="199"/>
      <c r="K6" s="199"/>
      <c r="L6" s="136">
        <v>0</v>
      </c>
      <c r="M6" s="137"/>
      <c r="N6" s="138">
        <f t="shared" si="0"/>
        <v>0</v>
      </c>
    </row>
    <row r="7" spans="2:21" x14ac:dyDescent="0.25">
      <c r="B7" s="139">
        <v>41153</v>
      </c>
      <c r="C7" s="136">
        <v>0</v>
      </c>
      <c r="D7" s="199"/>
      <c r="E7" s="199"/>
      <c r="F7" s="199"/>
      <c r="G7" s="199"/>
      <c r="H7" s="199"/>
      <c r="I7" s="199"/>
      <c r="J7" s="199"/>
      <c r="K7" s="199"/>
      <c r="L7" s="136">
        <v>0</v>
      </c>
      <c r="M7" s="137"/>
      <c r="N7" s="138">
        <f t="shared" si="0"/>
        <v>0</v>
      </c>
    </row>
    <row r="8" spans="2:21" x14ac:dyDescent="0.25">
      <c r="B8" s="139">
        <v>41183</v>
      </c>
      <c r="C8" s="136">
        <v>0</v>
      </c>
      <c r="D8" s="199"/>
      <c r="E8" s="199"/>
      <c r="F8" s="199"/>
      <c r="G8" s="199"/>
      <c r="H8" s="199"/>
      <c r="I8" s="199"/>
      <c r="J8" s="199"/>
      <c r="K8" s="199"/>
      <c r="L8" s="136">
        <v>0</v>
      </c>
      <c r="M8" s="137"/>
      <c r="N8" s="138">
        <f t="shared" si="0"/>
        <v>0</v>
      </c>
    </row>
    <row r="9" spans="2:21" x14ac:dyDescent="0.25">
      <c r="B9" s="139">
        <v>41214</v>
      </c>
      <c r="C9" s="136">
        <v>0</v>
      </c>
      <c r="D9" s="199"/>
      <c r="E9" s="199"/>
      <c r="F9" s="199"/>
      <c r="G9" s="199"/>
      <c r="H9" s="199"/>
      <c r="I9" s="199"/>
      <c r="J9" s="199"/>
      <c r="K9" s="199"/>
      <c r="L9" s="136">
        <v>0</v>
      </c>
      <c r="M9" s="137"/>
      <c r="N9" s="138">
        <f t="shared" si="0"/>
        <v>0</v>
      </c>
    </row>
    <row r="10" spans="2:21" x14ac:dyDescent="0.25">
      <c r="B10" s="139">
        <v>41244</v>
      </c>
      <c r="C10" s="136">
        <v>0</v>
      </c>
      <c r="D10" s="199"/>
      <c r="E10" s="199"/>
      <c r="F10" s="199"/>
      <c r="G10" s="199"/>
      <c r="H10" s="199"/>
      <c r="I10" s="199"/>
      <c r="J10" s="199"/>
      <c r="K10" s="199"/>
      <c r="L10" s="136">
        <v>0</v>
      </c>
      <c r="M10" s="137">
        <v>3</v>
      </c>
      <c r="N10" s="138">
        <f t="shared" si="0"/>
        <v>3</v>
      </c>
    </row>
    <row r="11" spans="2:21" x14ac:dyDescent="0.25">
      <c r="B11" s="135">
        <v>41275</v>
      </c>
      <c r="C11" s="136">
        <v>0</v>
      </c>
      <c r="D11" s="137">
        <v>3</v>
      </c>
      <c r="E11" s="137">
        <v>1</v>
      </c>
      <c r="F11" s="137">
        <v>1</v>
      </c>
      <c r="G11" s="137">
        <v>1</v>
      </c>
      <c r="H11" s="137">
        <v>1</v>
      </c>
      <c r="I11" s="137">
        <v>0.5</v>
      </c>
      <c r="J11" s="137">
        <v>0</v>
      </c>
      <c r="K11" s="136">
        <v>0</v>
      </c>
      <c r="L11" s="136">
        <v>0</v>
      </c>
      <c r="M11" s="137">
        <v>3</v>
      </c>
      <c r="N11" s="138">
        <f t="shared" si="0"/>
        <v>10.5</v>
      </c>
    </row>
    <row r="12" spans="2:21" x14ac:dyDescent="0.25">
      <c r="B12" s="135">
        <v>41306</v>
      </c>
      <c r="C12" s="136">
        <v>0</v>
      </c>
      <c r="D12" s="137">
        <v>4</v>
      </c>
      <c r="E12" s="137">
        <v>1</v>
      </c>
      <c r="F12" s="137">
        <v>1</v>
      </c>
      <c r="G12" s="137">
        <v>1</v>
      </c>
      <c r="H12" s="137">
        <v>1</v>
      </c>
      <c r="I12" s="137">
        <v>0.5</v>
      </c>
      <c r="J12" s="137">
        <v>0</v>
      </c>
      <c r="K12" s="136">
        <v>0</v>
      </c>
      <c r="L12" s="136">
        <v>0</v>
      </c>
      <c r="M12" s="137">
        <v>3</v>
      </c>
      <c r="N12" s="138">
        <f t="shared" si="0"/>
        <v>11.5</v>
      </c>
    </row>
    <row r="13" spans="2:21" x14ac:dyDescent="0.25">
      <c r="B13" s="135">
        <v>41334</v>
      </c>
      <c r="C13" s="136">
        <v>0</v>
      </c>
      <c r="D13" s="137">
        <v>4</v>
      </c>
      <c r="E13" s="137">
        <v>1.5</v>
      </c>
      <c r="F13" s="137">
        <v>1.5</v>
      </c>
      <c r="G13" s="137">
        <v>2</v>
      </c>
      <c r="H13" s="137">
        <v>2</v>
      </c>
      <c r="I13" s="137">
        <v>0.5</v>
      </c>
      <c r="J13" s="137">
        <v>2</v>
      </c>
      <c r="K13" s="136">
        <v>0</v>
      </c>
      <c r="L13" s="136">
        <v>0</v>
      </c>
      <c r="M13" s="137">
        <v>3</v>
      </c>
      <c r="N13" s="138">
        <f t="shared" si="0"/>
        <v>16.5</v>
      </c>
    </row>
    <row r="14" spans="2:21" x14ac:dyDescent="0.25">
      <c r="B14" s="135">
        <v>41365</v>
      </c>
      <c r="C14" s="137">
        <v>6</v>
      </c>
      <c r="D14" s="137">
        <v>5</v>
      </c>
      <c r="E14" s="137">
        <v>2</v>
      </c>
      <c r="F14" s="137">
        <v>2</v>
      </c>
      <c r="G14" s="137">
        <v>3</v>
      </c>
      <c r="H14" s="137">
        <v>3</v>
      </c>
      <c r="I14" s="137">
        <v>0.5</v>
      </c>
      <c r="J14" s="137">
        <v>2</v>
      </c>
      <c r="K14" s="136">
        <v>0</v>
      </c>
      <c r="L14" s="136">
        <v>0</v>
      </c>
      <c r="M14" s="137">
        <v>3</v>
      </c>
      <c r="N14" s="138">
        <f t="shared" si="0"/>
        <v>26.5</v>
      </c>
      <c r="Q14" s="140"/>
      <c r="R14" s="140"/>
      <c r="S14" s="140"/>
    </row>
    <row r="15" spans="2:21" x14ac:dyDescent="0.25">
      <c r="B15" s="141">
        <v>41395</v>
      </c>
      <c r="C15" s="142">
        <v>8</v>
      </c>
      <c r="D15" s="142">
        <v>5</v>
      </c>
      <c r="E15" s="142">
        <v>1</v>
      </c>
      <c r="F15" s="142">
        <v>1</v>
      </c>
      <c r="G15" s="142">
        <v>1</v>
      </c>
      <c r="H15" s="142">
        <v>1</v>
      </c>
      <c r="I15" s="142">
        <v>0.5</v>
      </c>
      <c r="J15" s="142">
        <v>2</v>
      </c>
      <c r="K15" s="143">
        <v>0</v>
      </c>
      <c r="L15" s="143">
        <v>0</v>
      </c>
      <c r="M15" s="142">
        <v>3</v>
      </c>
      <c r="N15" s="144">
        <f t="shared" si="0"/>
        <v>22.5</v>
      </c>
      <c r="Q15" s="140"/>
      <c r="R15" s="140"/>
      <c r="S15" s="140"/>
    </row>
    <row r="16" spans="2:21" x14ac:dyDescent="0.25">
      <c r="B16" s="145" t="s">
        <v>90</v>
      </c>
      <c r="C16" s="146">
        <f>SUM(C3:C14)*4.33</f>
        <v>25.98</v>
      </c>
      <c r="D16" s="146">
        <f t="shared" ref="D16:M16" si="1">SUM(D3:D14)*4.33</f>
        <v>116.91</v>
      </c>
      <c r="E16" s="146">
        <f t="shared" si="1"/>
        <v>47.63</v>
      </c>
      <c r="F16" s="146">
        <f t="shared" si="1"/>
        <v>47.63</v>
      </c>
      <c r="G16" s="146">
        <f t="shared" si="1"/>
        <v>58.454999999999998</v>
      </c>
      <c r="H16" s="146">
        <f t="shared" si="1"/>
        <v>43.3</v>
      </c>
      <c r="I16" s="146">
        <f t="shared" si="1"/>
        <v>15.155000000000001</v>
      </c>
      <c r="J16" s="146">
        <f>SUM(J3:J14)*4.33</f>
        <v>30.310000000000002</v>
      </c>
      <c r="K16" s="146">
        <f t="shared" si="1"/>
        <v>389.7</v>
      </c>
      <c r="L16" s="146">
        <f t="shared" si="1"/>
        <v>151.55000000000001</v>
      </c>
      <c r="M16" s="146">
        <f t="shared" si="1"/>
        <v>64.95</v>
      </c>
      <c r="N16" s="146">
        <f>SUM(N3:N14)*4.33</f>
        <v>991.57</v>
      </c>
      <c r="O16" s="147" t="s">
        <v>91</v>
      </c>
      <c r="Q16" s="140"/>
      <c r="R16" s="148"/>
      <c r="S16" s="148"/>
      <c r="T16" s="140"/>
      <c r="U16" s="140"/>
    </row>
    <row r="17" spans="2:22" x14ac:dyDescent="0.25">
      <c r="B17" s="149" t="s">
        <v>92</v>
      </c>
      <c r="C17" s="150">
        <v>50</v>
      </c>
      <c r="D17" s="150">
        <v>50</v>
      </c>
      <c r="E17" s="150">
        <v>50</v>
      </c>
      <c r="F17" s="150">
        <v>50</v>
      </c>
      <c r="G17" s="150">
        <v>50</v>
      </c>
      <c r="H17" s="150">
        <v>50</v>
      </c>
      <c r="I17" s="150">
        <v>50</v>
      </c>
      <c r="J17" s="150">
        <v>51</v>
      </c>
      <c r="K17" s="150">
        <v>50</v>
      </c>
      <c r="L17" s="150">
        <v>50</v>
      </c>
      <c r="M17" s="150">
        <v>50</v>
      </c>
      <c r="Q17" s="140"/>
      <c r="R17" s="148"/>
      <c r="S17" s="148"/>
      <c r="T17" s="140"/>
      <c r="U17" s="140"/>
    </row>
    <row r="18" spans="2:22" ht="15.75" thickBot="1" x14ac:dyDescent="0.3">
      <c r="B18" s="151" t="s">
        <v>93</v>
      </c>
      <c r="C18" s="152">
        <f>+C16*C17</f>
        <v>1299</v>
      </c>
      <c r="D18" s="152">
        <f t="shared" ref="D18:M18" si="2">+D16*D17</f>
        <v>5845.5</v>
      </c>
      <c r="E18" s="152">
        <f t="shared" si="2"/>
        <v>2381.5</v>
      </c>
      <c r="F18" s="152">
        <f t="shared" si="2"/>
        <v>2381.5</v>
      </c>
      <c r="G18" s="152">
        <f t="shared" si="2"/>
        <v>2922.75</v>
      </c>
      <c r="H18" s="152">
        <f t="shared" si="2"/>
        <v>2165</v>
      </c>
      <c r="I18" s="152">
        <f t="shared" si="2"/>
        <v>757.75</v>
      </c>
      <c r="J18" s="152">
        <f t="shared" si="2"/>
        <v>1545.8100000000002</v>
      </c>
      <c r="K18" s="152">
        <f t="shared" si="2"/>
        <v>19485</v>
      </c>
      <c r="L18" s="152">
        <f>+L16*L17</f>
        <v>7577.5000000000009</v>
      </c>
      <c r="M18" s="152">
        <f t="shared" si="2"/>
        <v>3247.5</v>
      </c>
      <c r="N18" s="152">
        <f>SUM(C18:M18)</f>
        <v>49608.81</v>
      </c>
      <c r="O18" s="153">
        <f>+N18*P18</f>
        <v>14882.642999999998</v>
      </c>
      <c r="P18" s="202">
        <v>0.3</v>
      </c>
      <c r="Q18" s="203" t="s">
        <v>136</v>
      </c>
      <c r="R18" s="148"/>
      <c r="S18" s="148"/>
      <c r="T18" s="140"/>
      <c r="U18" s="140"/>
    </row>
    <row r="19" spans="2:22" ht="15.75" thickTop="1" x14ac:dyDescent="0.25">
      <c r="O19" s="153">
        <f>+N18*P19</f>
        <v>34726.166999999994</v>
      </c>
      <c r="P19" s="202">
        <f>1-P18</f>
        <v>0.7</v>
      </c>
      <c r="Q19" s="203" t="s">
        <v>137</v>
      </c>
      <c r="R19" s="148"/>
      <c r="S19" s="148"/>
      <c r="T19" s="140"/>
      <c r="U19" s="140"/>
    </row>
    <row r="20" spans="2:22" x14ac:dyDescent="0.25">
      <c r="P20" s="154"/>
      <c r="R20" s="140"/>
      <c r="S20" s="148"/>
      <c r="T20" s="148"/>
      <c r="U20" s="140"/>
      <c r="V20" s="140"/>
    </row>
    <row r="21" spans="2:22" ht="15.75" thickBot="1" x14ac:dyDescent="0.3">
      <c r="B21" s="241" t="s">
        <v>139</v>
      </c>
      <c r="C21" s="241"/>
      <c r="D21" s="241"/>
      <c r="E21" s="241"/>
      <c r="F21" s="241"/>
      <c r="G21" s="241"/>
      <c r="H21" s="241"/>
      <c r="I21" s="241"/>
      <c r="J21" s="241"/>
      <c r="K21" s="241"/>
      <c r="L21" s="241"/>
      <c r="M21" s="241"/>
      <c r="N21" s="241"/>
    </row>
    <row r="22" spans="2:22" ht="41.25" customHeight="1" thickBot="1" x14ac:dyDescent="0.3">
      <c r="B22" s="131" t="s">
        <v>78</v>
      </c>
      <c r="C22" s="132" t="s">
        <v>79</v>
      </c>
      <c r="D22" s="132" t="s">
        <v>80</v>
      </c>
      <c r="E22" s="132" t="s">
        <v>81</v>
      </c>
      <c r="F22" s="132" t="s">
        <v>82</v>
      </c>
      <c r="G22" s="132" t="s">
        <v>83</v>
      </c>
      <c r="H22" s="132" t="s">
        <v>84</v>
      </c>
      <c r="I22" s="132" t="s">
        <v>85</v>
      </c>
      <c r="J22" s="132" t="s">
        <v>86</v>
      </c>
      <c r="K22" s="132" t="s">
        <v>89</v>
      </c>
      <c r="L22" s="132"/>
      <c r="M22" s="132"/>
      <c r="N22" s="133" t="s">
        <v>14</v>
      </c>
    </row>
    <row r="23" spans="2:22" x14ac:dyDescent="0.25">
      <c r="B23" s="135">
        <v>73901</v>
      </c>
      <c r="C23" s="137">
        <v>8</v>
      </c>
      <c r="D23" s="137">
        <v>5</v>
      </c>
      <c r="E23" s="137">
        <v>1</v>
      </c>
      <c r="F23" s="137">
        <v>1</v>
      </c>
      <c r="G23" s="137">
        <v>1</v>
      </c>
      <c r="H23" s="137"/>
      <c r="I23" s="137">
        <v>0.5</v>
      </c>
      <c r="J23" s="137">
        <v>2</v>
      </c>
      <c r="K23" s="137">
        <v>3</v>
      </c>
      <c r="L23" s="136"/>
      <c r="M23" s="136"/>
      <c r="N23" s="138">
        <f t="shared" ref="N23:N35" si="3">SUM(C23:M23)</f>
        <v>21.5</v>
      </c>
    </row>
    <row r="24" spans="2:22" x14ac:dyDescent="0.25">
      <c r="B24" s="135">
        <v>41061</v>
      </c>
      <c r="C24" s="137">
        <v>6</v>
      </c>
      <c r="D24" s="137">
        <v>4</v>
      </c>
      <c r="E24" s="137">
        <v>1</v>
      </c>
      <c r="F24" s="137">
        <v>1</v>
      </c>
      <c r="G24" s="137">
        <v>1</v>
      </c>
      <c r="H24" s="137">
        <v>1</v>
      </c>
      <c r="I24" s="137">
        <v>0.5</v>
      </c>
      <c r="J24" s="137">
        <v>1</v>
      </c>
      <c r="K24" s="137">
        <v>3</v>
      </c>
      <c r="L24" s="136"/>
      <c r="M24" s="136"/>
      <c r="N24" s="138">
        <f t="shared" si="3"/>
        <v>18.5</v>
      </c>
    </row>
    <row r="25" spans="2:22" x14ac:dyDescent="0.25">
      <c r="B25" s="135">
        <v>41091</v>
      </c>
      <c r="C25" s="137">
        <v>5</v>
      </c>
      <c r="D25" s="137">
        <v>3</v>
      </c>
      <c r="E25" s="137">
        <v>0.5</v>
      </c>
      <c r="F25" s="137">
        <v>0.5</v>
      </c>
      <c r="G25" s="137">
        <v>1</v>
      </c>
      <c r="H25" s="137"/>
      <c r="I25" s="137">
        <v>0.5</v>
      </c>
      <c r="J25" s="137">
        <v>0.5</v>
      </c>
      <c r="K25" s="137">
        <v>2</v>
      </c>
      <c r="L25" s="136"/>
      <c r="M25" s="136"/>
      <c r="N25" s="138">
        <f t="shared" si="3"/>
        <v>13</v>
      </c>
    </row>
    <row r="26" spans="2:22" x14ac:dyDescent="0.25">
      <c r="B26" s="135">
        <v>41122</v>
      </c>
      <c r="C26" s="137">
        <v>4</v>
      </c>
      <c r="D26" s="137">
        <v>1</v>
      </c>
      <c r="E26" s="137">
        <v>1</v>
      </c>
      <c r="F26" s="137">
        <v>1</v>
      </c>
      <c r="G26" s="137">
        <v>1</v>
      </c>
      <c r="H26" s="137">
        <v>0.25</v>
      </c>
      <c r="I26" s="137">
        <v>0.5</v>
      </c>
      <c r="J26" s="137">
        <v>0.5</v>
      </c>
      <c r="K26" s="137">
        <v>1</v>
      </c>
      <c r="L26" s="136"/>
      <c r="M26" s="136"/>
      <c r="N26" s="138">
        <f t="shared" si="3"/>
        <v>10.25</v>
      </c>
    </row>
    <row r="27" spans="2:22" x14ac:dyDescent="0.25">
      <c r="B27" s="135">
        <v>41153</v>
      </c>
      <c r="C27" s="137">
        <v>3</v>
      </c>
      <c r="D27" s="137">
        <v>1</v>
      </c>
      <c r="E27" s="137">
        <v>0.5</v>
      </c>
      <c r="F27" s="137">
        <v>0.5</v>
      </c>
      <c r="G27" s="137">
        <v>1</v>
      </c>
      <c r="H27" s="137"/>
      <c r="I27" s="137">
        <v>0.5</v>
      </c>
      <c r="J27" s="137">
        <v>0.5</v>
      </c>
      <c r="K27" s="137">
        <v>1</v>
      </c>
      <c r="L27" s="136"/>
      <c r="M27" s="136"/>
      <c r="N27" s="138">
        <f t="shared" si="3"/>
        <v>8</v>
      </c>
    </row>
    <row r="28" spans="2:22" x14ac:dyDescent="0.25">
      <c r="B28" s="135">
        <v>41183</v>
      </c>
      <c r="C28" s="137">
        <v>3</v>
      </c>
      <c r="D28" s="137">
        <v>1</v>
      </c>
      <c r="E28" s="137">
        <v>1</v>
      </c>
      <c r="F28" s="137">
        <v>1</v>
      </c>
      <c r="G28" s="137">
        <v>1</v>
      </c>
      <c r="H28" s="137">
        <v>0.25</v>
      </c>
      <c r="I28" s="137">
        <v>0.5</v>
      </c>
      <c r="J28" s="137">
        <v>0.5</v>
      </c>
      <c r="K28" s="137">
        <v>1</v>
      </c>
      <c r="L28" s="136"/>
      <c r="M28" s="136"/>
      <c r="N28" s="138">
        <f t="shared" si="3"/>
        <v>9.25</v>
      </c>
    </row>
    <row r="29" spans="2:22" x14ac:dyDescent="0.25">
      <c r="B29" s="135">
        <v>41214</v>
      </c>
      <c r="C29" s="137">
        <v>3</v>
      </c>
      <c r="D29" s="137">
        <v>1</v>
      </c>
      <c r="E29" s="137">
        <v>0.5</v>
      </c>
      <c r="F29" s="137">
        <v>0.5</v>
      </c>
      <c r="G29" s="137">
        <v>1</v>
      </c>
      <c r="H29" s="137"/>
      <c r="I29" s="137">
        <v>0.5</v>
      </c>
      <c r="J29" s="137">
        <v>0.5</v>
      </c>
      <c r="K29" s="137">
        <v>1</v>
      </c>
      <c r="L29" s="136"/>
      <c r="M29" s="136"/>
      <c r="N29" s="138">
        <f t="shared" si="3"/>
        <v>8</v>
      </c>
    </row>
    <row r="30" spans="2:22" x14ac:dyDescent="0.25">
      <c r="B30" s="135">
        <v>41244</v>
      </c>
      <c r="C30" s="137">
        <v>2</v>
      </c>
      <c r="D30" s="137">
        <v>1</v>
      </c>
      <c r="E30" s="137">
        <v>1</v>
      </c>
      <c r="F30" s="137">
        <v>1</v>
      </c>
      <c r="G30" s="137">
        <v>1</v>
      </c>
      <c r="H30" s="137">
        <v>1</v>
      </c>
      <c r="I30" s="137">
        <v>0.5</v>
      </c>
      <c r="J30" s="137">
        <v>0.5</v>
      </c>
      <c r="K30" s="137">
        <v>1</v>
      </c>
      <c r="L30" s="136"/>
      <c r="M30" s="136"/>
      <c r="N30" s="138">
        <f t="shared" si="3"/>
        <v>9</v>
      </c>
    </row>
    <row r="31" spans="2:22" x14ac:dyDescent="0.25">
      <c r="B31" s="135">
        <v>41275</v>
      </c>
      <c r="C31" s="137">
        <v>2</v>
      </c>
      <c r="D31" s="137">
        <v>1</v>
      </c>
      <c r="E31" s="137">
        <v>0.5</v>
      </c>
      <c r="F31" s="137">
        <v>0.5</v>
      </c>
      <c r="G31" s="137">
        <v>1</v>
      </c>
      <c r="H31" s="137"/>
      <c r="I31" s="137">
        <v>0.5</v>
      </c>
      <c r="J31" s="137">
        <v>0.5</v>
      </c>
      <c r="K31" s="137">
        <v>1</v>
      </c>
      <c r="L31" s="136"/>
      <c r="M31" s="136"/>
      <c r="N31" s="138">
        <f t="shared" si="3"/>
        <v>7</v>
      </c>
    </row>
    <row r="32" spans="2:22" x14ac:dyDescent="0.25">
      <c r="B32" s="135">
        <v>41306</v>
      </c>
      <c r="C32" s="137">
        <v>2</v>
      </c>
      <c r="D32" s="137">
        <v>1</v>
      </c>
      <c r="E32" s="137">
        <v>1</v>
      </c>
      <c r="F32" s="137">
        <v>1</v>
      </c>
      <c r="G32" s="137">
        <v>1</v>
      </c>
      <c r="H32" s="137">
        <v>0.25</v>
      </c>
      <c r="I32" s="137">
        <v>0.5</v>
      </c>
      <c r="J32" s="137">
        <v>0.5</v>
      </c>
      <c r="K32" s="137">
        <v>1</v>
      </c>
      <c r="L32" s="136"/>
      <c r="M32" s="136"/>
      <c r="N32" s="138">
        <f t="shared" si="3"/>
        <v>8.25</v>
      </c>
    </row>
    <row r="33" spans="2:23" x14ac:dyDescent="0.25">
      <c r="B33" s="135">
        <v>41334</v>
      </c>
      <c r="C33" s="137">
        <v>2</v>
      </c>
      <c r="D33" s="137">
        <v>1</v>
      </c>
      <c r="E33" s="137">
        <v>0.5</v>
      </c>
      <c r="F33" s="137">
        <v>0.5</v>
      </c>
      <c r="G33" s="137">
        <v>1</v>
      </c>
      <c r="H33" s="137"/>
      <c r="I33" s="137">
        <v>0.5</v>
      </c>
      <c r="J33" s="137">
        <v>0.5</v>
      </c>
      <c r="K33" s="137">
        <v>1</v>
      </c>
      <c r="L33" s="136"/>
      <c r="M33" s="136"/>
      <c r="N33" s="138">
        <f t="shared" si="3"/>
        <v>7</v>
      </c>
    </row>
    <row r="34" spans="2:23" x14ac:dyDescent="0.25">
      <c r="B34" s="135">
        <v>41365</v>
      </c>
      <c r="C34" s="137">
        <v>4</v>
      </c>
      <c r="D34" s="137">
        <v>1</v>
      </c>
      <c r="E34" s="137">
        <v>1</v>
      </c>
      <c r="F34" s="137">
        <v>1</v>
      </c>
      <c r="G34" s="137">
        <v>1</v>
      </c>
      <c r="H34" s="137">
        <v>1</v>
      </c>
      <c r="I34" s="137">
        <v>0.5</v>
      </c>
      <c r="J34" s="137">
        <v>0.5</v>
      </c>
      <c r="K34" s="137">
        <v>1</v>
      </c>
      <c r="L34" s="136"/>
      <c r="M34" s="136"/>
      <c r="N34" s="138">
        <f t="shared" si="3"/>
        <v>11</v>
      </c>
      <c r="Q34" s="140"/>
      <c r="R34" s="140"/>
      <c r="S34" s="140"/>
    </row>
    <row r="35" spans="2:23" x14ac:dyDescent="0.25">
      <c r="B35" s="141">
        <v>41395</v>
      </c>
      <c r="C35" s="142">
        <v>8</v>
      </c>
      <c r="D35" s="142">
        <v>1</v>
      </c>
      <c r="E35" s="142">
        <v>0.5</v>
      </c>
      <c r="F35" s="142">
        <v>0.5</v>
      </c>
      <c r="G35" s="142">
        <v>1</v>
      </c>
      <c r="H35" s="142">
        <v>1</v>
      </c>
      <c r="I35" s="142">
        <v>0.5</v>
      </c>
      <c r="J35" s="142">
        <v>0.5</v>
      </c>
      <c r="K35" s="142">
        <v>1</v>
      </c>
      <c r="L35" s="143"/>
      <c r="M35" s="143"/>
      <c r="N35" s="144">
        <f t="shared" si="3"/>
        <v>14</v>
      </c>
      <c r="Q35" s="140"/>
      <c r="R35" s="140"/>
      <c r="S35" s="140"/>
    </row>
    <row r="36" spans="2:23" x14ac:dyDescent="0.25">
      <c r="B36" s="145" t="s">
        <v>90</v>
      </c>
      <c r="C36" s="146">
        <f>SUM(C23:C34)*4.33</f>
        <v>190.52</v>
      </c>
      <c r="D36" s="146">
        <f t="shared" ref="D36:I36" si="4">SUM(D23:D34)*4.33</f>
        <v>90.93</v>
      </c>
      <c r="E36" s="146">
        <f t="shared" si="4"/>
        <v>41.134999999999998</v>
      </c>
      <c r="F36" s="146">
        <f t="shared" si="4"/>
        <v>41.134999999999998</v>
      </c>
      <c r="G36" s="146">
        <f t="shared" si="4"/>
        <v>51.96</v>
      </c>
      <c r="H36" s="146">
        <f t="shared" si="4"/>
        <v>16.237500000000001</v>
      </c>
      <c r="I36" s="146">
        <f t="shared" si="4"/>
        <v>25.98</v>
      </c>
      <c r="J36" s="146">
        <f>SUM(J23:J34)*4.33</f>
        <v>34.64</v>
      </c>
      <c r="K36" s="146">
        <f>SUM(K23:K34)*4.33</f>
        <v>73.61</v>
      </c>
      <c r="L36" s="146">
        <f t="shared" ref="L36:M36" si="5">SUM(L23:L34)*4.33</f>
        <v>0</v>
      </c>
      <c r="M36" s="146">
        <f t="shared" si="5"/>
        <v>0</v>
      </c>
      <c r="N36" s="146">
        <f>SUM(N23:N34)*4.33</f>
        <v>566.14750000000004</v>
      </c>
      <c r="O36" s="147" t="s">
        <v>91</v>
      </c>
      <c r="Q36" s="140"/>
      <c r="R36" s="148"/>
      <c r="S36" s="148"/>
      <c r="T36" s="140"/>
      <c r="U36" s="140"/>
    </row>
    <row r="37" spans="2:23" x14ac:dyDescent="0.25">
      <c r="B37" s="149" t="s">
        <v>92</v>
      </c>
      <c r="C37" s="150">
        <v>50</v>
      </c>
      <c r="D37" s="150">
        <v>50</v>
      </c>
      <c r="E37" s="150">
        <v>50</v>
      </c>
      <c r="F37" s="150">
        <v>50</v>
      </c>
      <c r="G37" s="150">
        <v>50</v>
      </c>
      <c r="H37" s="150">
        <v>50</v>
      </c>
      <c r="I37" s="150">
        <v>50</v>
      </c>
      <c r="J37" s="150">
        <v>51</v>
      </c>
      <c r="K37" s="150">
        <v>50</v>
      </c>
      <c r="L37" s="150">
        <v>50</v>
      </c>
      <c r="M37" s="150">
        <v>50</v>
      </c>
      <c r="Q37" s="140"/>
      <c r="R37" s="148"/>
      <c r="S37" s="148"/>
      <c r="T37" s="140"/>
      <c r="U37" s="140"/>
    </row>
    <row r="38" spans="2:23" ht="15.75" thickBot="1" x14ac:dyDescent="0.3">
      <c r="B38" s="151" t="s">
        <v>93</v>
      </c>
      <c r="C38" s="152">
        <f>+C36*C37</f>
        <v>9526</v>
      </c>
      <c r="D38" s="152">
        <f t="shared" ref="D38:L38" si="6">+D36*D37</f>
        <v>4546.5</v>
      </c>
      <c r="E38" s="152">
        <f t="shared" si="6"/>
        <v>2056.75</v>
      </c>
      <c r="F38" s="152">
        <f t="shared" si="6"/>
        <v>2056.75</v>
      </c>
      <c r="G38" s="152">
        <f t="shared" si="6"/>
        <v>2598</v>
      </c>
      <c r="H38" s="152">
        <f t="shared" si="6"/>
        <v>811.875</v>
      </c>
      <c r="I38" s="152">
        <f t="shared" si="6"/>
        <v>1299</v>
      </c>
      <c r="J38" s="152">
        <f t="shared" si="6"/>
        <v>1766.64</v>
      </c>
      <c r="K38" s="152">
        <f t="shared" ref="K38" si="7">+K36*K37</f>
        <v>3680.5</v>
      </c>
      <c r="L38" s="152">
        <f t="shared" si="6"/>
        <v>0</v>
      </c>
      <c r="M38" s="152">
        <f>+M36*M37</f>
        <v>0</v>
      </c>
      <c r="N38" s="152">
        <f>SUM(C38:M38)</f>
        <v>28342.014999999999</v>
      </c>
      <c r="O38" s="153">
        <f>+N38*P38</f>
        <v>8502.6044999999995</v>
      </c>
      <c r="P38" s="202">
        <v>0.3</v>
      </c>
      <c r="Q38" s="203" t="s">
        <v>136</v>
      </c>
      <c r="R38" s="148"/>
      <c r="S38" s="148"/>
      <c r="T38" s="140"/>
      <c r="U38" s="140"/>
    </row>
    <row r="39" spans="2:23" ht="15.75" thickTop="1" x14ac:dyDescent="0.25">
      <c r="O39" s="153">
        <f>+N38*P39</f>
        <v>19839.410499999998</v>
      </c>
      <c r="P39" s="202">
        <f>1-P38</f>
        <v>0.7</v>
      </c>
      <c r="Q39" s="203" t="s">
        <v>137</v>
      </c>
      <c r="R39" s="148"/>
      <c r="S39" s="148"/>
      <c r="T39" s="140"/>
      <c r="U39" s="140"/>
    </row>
    <row r="40" spans="2:23" x14ac:dyDescent="0.25">
      <c r="P40" s="154"/>
      <c r="R40" s="140"/>
      <c r="S40" s="148"/>
      <c r="T40" s="148"/>
      <c r="U40" s="140"/>
      <c r="V40" s="140"/>
    </row>
    <row r="41" spans="2:23" ht="45.75" customHeight="1" x14ac:dyDescent="0.25">
      <c r="B41" s="231" t="s">
        <v>94</v>
      </c>
      <c r="C41" s="231"/>
      <c r="D41" s="231"/>
      <c r="E41" s="231"/>
      <c r="F41" s="231"/>
      <c r="G41" s="231"/>
      <c r="H41" s="231"/>
      <c r="I41" s="231"/>
      <c r="J41" s="148"/>
      <c r="O41" s="155"/>
      <c r="P41" s="155"/>
      <c r="Q41" s="154"/>
      <c r="S41" s="140"/>
      <c r="T41" s="148"/>
      <c r="U41" s="148"/>
      <c r="V41" s="140"/>
      <c r="W41" s="140"/>
    </row>
    <row r="42" spans="2:23" s="140" customFormat="1" ht="30.75" customHeight="1" thickBot="1" x14ac:dyDescent="0.3">
      <c r="B42" s="131" t="s">
        <v>78</v>
      </c>
      <c r="C42" s="156" t="s">
        <v>95</v>
      </c>
      <c r="D42" s="156" t="s">
        <v>96</v>
      </c>
      <c r="E42" s="156" t="s">
        <v>97</v>
      </c>
      <c r="F42" s="156" t="s">
        <v>98</v>
      </c>
      <c r="G42" s="232" t="s">
        <v>99</v>
      </c>
      <c r="H42" s="232"/>
      <c r="I42" s="133" t="s">
        <v>14</v>
      </c>
      <c r="J42" s="157"/>
      <c r="K42" s="133" t="str">
        <f t="shared" ref="K42:K56" si="8">+N2</f>
        <v>Total</v>
      </c>
      <c r="M42" s="133" t="s">
        <v>0</v>
      </c>
    </row>
    <row r="43" spans="2:23" x14ac:dyDescent="0.25">
      <c r="B43" s="135">
        <v>73901</v>
      </c>
      <c r="C43" s="158">
        <f>+C82*C98*4.33</f>
        <v>38.97</v>
      </c>
      <c r="D43" s="158">
        <f t="shared" ref="D43:H43" si="9">+D82*D98*4.33</f>
        <v>6.4950000000000001</v>
      </c>
      <c r="E43" s="158">
        <f t="shared" si="9"/>
        <v>25.98</v>
      </c>
      <c r="F43" s="158">
        <f t="shared" si="9"/>
        <v>6.4950000000000001</v>
      </c>
      <c r="G43" s="233">
        <f t="shared" si="9"/>
        <v>16.237500000000001</v>
      </c>
      <c r="H43" s="233">
        <f t="shared" si="9"/>
        <v>0</v>
      </c>
      <c r="I43" s="159">
        <f>SUM(C43:H43)</f>
        <v>94.177499999999995</v>
      </c>
      <c r="J43" s="159"/>
      <c r="K43" s="137">
        <f t="shared" si="8"/>
        <v>78.5</v>
      </c>
      <c r="M43" s="158">
        <f t="shared" ref="M43:M55" si="10">+K43-I43</f>
        <v>-15.677499999999995</v>
      </c>
      <c r="O43" s="140"/>
      <c r="P43" s="140"/>
    </row>
    <row r="44" spans="2:23" x14ac:dyDescent="0.25">
      <c r="B44" s="135">
        <v>41061</v>
      </c>
      <c r="C44" s="158">
        <f t="shared" ref="C44:H55" si="11">+C83*C99*4.33</f>
        <v>19.484999999999999</v>
      </c>
      <c r="D44" s="158">
        <f t="shared" si="11"/>
        <v>3.2475000000000001</v>
      </c>
      <c r="E44" s="158">
        <f t="shared" si="11"/>
        <v>12.99</v>
      </c>
      <c r="F44" s="158">
        <f t="shared" si="11"/>
        <v>3.2475000000000001</v>
      </c>
      <c r="G44" s="230">
        <f t="shared" si="11"/>
        <v>8.1187500000000004</v>
      </c>
      <c r="H44" s="230">
        <f t="shared" si="11"/>
        <v>0</v>
      </c>
      <c r="I44" s="159">
        <f t="shared" ref="I44:I55" si="12">SUM(C44:H44)</f>
        <v>47.088749999999997</v>
      </c>
      <c r="J44" s="159"/>
      <c r="K44" s="137">
        <f t="shared" si="8"/>
        <v>51</v>
      </c>
      <c r="M44" s="158">
        <f t="shared" si="10"/>
        <v>3.9112500000000026</v>
      </c>
      <c r="O44" s="140"/>
      <c r="P44" s="140"/>
    </row>
    <row r="45" spans="2:23" x14ac:dyDescent="0.25">
      <c r="B45" s="135">
        <v>41091</v>
      </c>
      <c r="C45" s="158">
        <f t="shared" si="11"/>
        <v>17.32</v>
      </c>
      <c r="D45" s="158">
        <f t="shared" si="11"/>
        <v>12.99</v>
      </c>
      <c r="E45" s="158">
        <f t="shared" si="11"/>
        <v>25.98</v>
      </c>
      <c r="F45" s="158">
        <f t="shared" si="11"/>
        <v>4.33</v>
      </c>
      <c r="G45" s="230">
        <f t="shared" si="11"/>
        <v>8.66</v>
      </c>
      <c r="H45" s="230">
        <f t="shared" si="11"/>
        <v>0</v>
      </c>
      <c r="I45" s="159">
        <f t="shared" si="12"/>
        <v>69.28</v>
      </c>
      <c r="J45" s="159"/>
      <c r="K45" s="137">
        <f t="shared" si="8"/>
        <v>31.5</v>
      </c>
      <c r="M45" s="158">
        <f t="shared" si="10"/>
        <v>-37.78</v>
      </c>
      <c r="O45" s="140"/>
      <c r="P45" s="140"/>
    </row>
    <row r="46" spans="2:23" x14ac:dyDescent="0.25">
      <c r="B46" s="139">
        <v>41122</v>
      </c>
      <c r="C46" s="158">
        <f t="shared" si="11"/>
        <v>2.165</v>
      </c>
      <c r="D46" s="158">
        <f t="shared" si="11"/>
        <v>0</v>
      </c>
      <c r="E46" s="158">
        <f t="shared" si="11"/>
        <v>0</v>
      </c>
      <c r="F46" s="158">
        <f t="shared" si="11"/>
        <v>4.33</v>
      </c>
      <c r="G46" s="230">
        <f t="shared" si="11"/>
        <v>1.0825</v>
      </c>
      <c r="H46" s="230">
        <f t="shared" si="11"/>
        <v>0</v>
      </c>
      <c r="I46" s="159">
        <f t="shared" si="12"/>
        <v>7.5775000000000006</v>
      </c>
      <c r="J46" s="159"/>
      <c r="K46" s="137">
        <f t="shared" si="8"/>
        <v>0</v>
      </c>
      <c r="M46" s="158">
        <f t="shared" si="10"/>
        <v>-7.5775000000000006</v>
      </c>
      <c r="O46" s="140"/>
      <c r="P46" s="140"/>
    </row>
    <row r="47" spans="2:23" x14ac:dyDescent="0.25">
      <c r="B47" s="139">
        <v>41153</v>
      </c>
      <c r="C47" s="158">
        <f t="shared" si="11"/>
        <v>2.165</v>
      </c>
      <c r="D47" s="158">
        <f t="shared" si="11"/>
        <v>0</v>
      </c>
      <c r="E47" s="158">
        <f t="shared" si="11"/>
        <v>4.33</v>
      </c>
      <c r="F47" s="158">
        <f t="shared" si="11"/>
        <v>0</v>
      </c>
      <c r="G47" s="230">
        <f t="shared" si="11"/>
        <v>0.64949999999999997</v>
      </c>
      <c r="H47" s="230">
        <f t="shared" si="11"/>
        <v>0</v>
      </c>
      <c r="I47" s="159">
        <f t="shared" si="12"/>
        <v>7.1444999999999999</v>
      </c>
      <c r="J47" s="159"/>
      <c r="K47" s="137">
        <f t="shared" si="8"/>
        <v>0</v>
      </c>
      <c r="M47" s="158">
        <f t="shared" si="10"/>
        <v>-7.1444999999999999</v>
      </c>
      <c r="O47" s="140"/>
      <c r="P47" s="140"/>
    </row>
    <row r="48" spans="2:23" x14ac:dyDescent="0.25">
      <c r="B48" s="139">
        <v>41183</v>
      </c>
      <c r="C48" s="158">
        <f t="shared" si="11"/>
        <v>2.165</v>
      </c>
      <c r="D48" s="158">
        <f t="shared" si="11"/>
        <v>0</v>
      </c>
      <c r="E48" s="158">
        <f t="shared" si="11"/>
        <v>0</v>
      </c>
      <c r="F48" s="158">
        <f t="shared" si="11"/>
        <v>0</v>
      </c>
      <c r="G48" s="230">
        <f t="shared" si="11"/>
        <v>0.64949999999999997</v>
      </c>
      <c r="H48" s="230">
        <f t="shared" si="11"/>
        <v>0</v>
      </c>
      <c r="I48" s="159">
        <f t="shared" si="12"/>
        <v>2.8144999999999998</v>
      </c>
      <c r="J48" s="159"/>
      <c r="K48" s="137">
        <f t="shared" si="8"/>
        <v>0</v>
      </c>
      <c r="M48" s="158">
        <f t="shared" si="10"/>
        <v>-2.8144999999999998</v>
      </c>
      <c r="O48" s="140"/>
      <c r="P48" s="140"/>
    </row>
    <row r="49" spans="2:20" x14ac:dyDescent="0.25">
      <c r="B49" s="139">
        <v>41214</v>
      </c>
      <c r="C49" s="158">
        <f t="shared" si="11"/>
        <v>2.165</v>
      </c>
      <c r="D49" s="158">
        <f t="shared" si="11"/>
        <v>0</v>
      </c>
      <c r="E49" s="158">
        <f t="shared" si="11"/>
        <v>0</v>
      </c>
      <c r="F49" s="158">
        <f t="shared" si="11"/>
        <v>0.8660000000000001</v>
      </c>
      <c r="G49" s="230">
        <f t="shared" si="11"/>
        <v>0</v>
      </c>
      <c r="H49" s="230">
        <f t="shared" si="11"/>
        <v>0</v>
      </c>
      <c r="I49" s="159">
        <f t="shared" si="12"/>
        <v>3.0310000000000001</v>
      </c>
      <c r="J49" s="159"/>
      <c r="K49" s="137">
        <f t="shared" si="8"/>
        <v>0</v>
      </c>
      <c r="M49" s="158">
        <f t="shared" si="10"/>
        <v>-3.0310000000000001</v>
      </c>
      <c r="O49" s="140"/>
      <c r="P49" s="140"/>
    </row>
    <row r="50" spans="2:20" x14ac:dyDescent="0.25">
      <c r="B50" s="139">
        <v>41244</v>
      </c>
      <c r="C50" s="158">
        <f t="shared" si="11"/>
        <v>2.165</v>
      </c>
      <c r="D50" s="158">
        <f t="shared" si="11"/>
        <v>0</v>
      </c>
      <c r="E50" s="158">
        <f t="shared" si="11"/>
        <v>4.33</v>
      </c>
      <c r="F50" s="158">
        <f t="shared" si="11"/>
        <v>0.8660000000000001</v>
      </c>
      <c r="G50" s="230">
        <f t="shared" si="11"/>
        <v>0</v>
      </c>
      <c r="H50" s="230">
        <f t="shared" si="11"/>
        <v>0</v>
      </c>
      <c r="I50" s="159">
        <f t="shared" si="12"/>
        <v>7.3610000000000007</v>
      </c>
      <c r="J50" s="159"/>
      <c r="K50" s="137">
        <f t="shared" si="8"/>
        <v>3</v>
      </c>
      <c r="M50" s="158">
        <f t="shared" si="10"/>
        <v>-4.3610000000000007</v>
      </c>
    </row>
    <row r="51" spans="2:20" x14ac:dyDescent="0.25">
      <c r="B51" s="135">
        <v>41275</v>
      </c>
      <c r="C51" s="158">
        <f t="shared" si="11"/>
        <v>17.32</v>
      </c>
      <c r="D51" s="158">
        <f t="shared" si="11"/>
        <v>0</v>
      </c>
      <c r="E51" s="158">
        <f t="shared" si="11"/>
        <v>0</v>
      </c>
      <c r="F51" s="158">
        <f t="shared" si="11"/>
        <v>0</v>
      </c>
      <c r="G51" s="230">
        <f t="shared" si="11"/>
        <v>0</v>
      </c>
      <c r="H51" s="230">
        <f t="shared" si="11"/>
        <v>0</v>
      </c>
      <c r="I51" s="159">
        <f t="shared" si="12"/>
        <v>17.32</v>
      </c>
      <c r="J51" s="159"/>
      <c r="K51" s="137">
        <f t="shared" si="8"/>
        <v>10.5</v>
      </c>
      <c r="M51" s="158">
        <f t="shared" si="10"/>
        <v>-6.82</v>
      </c>
      <c r="T51" s="177"/>
    </row>
    <row r="52" spans="2:20" x14ac:dyDescent="0.25">
      <c r="B52" s="135">
        <v>41306</v>
      </c>
      <c r="C52" s="158">
        <f t="shared" si="11"/>
        <v>8.66</v>
      </c>
      <c r="D52" s="158">
        <f t="shared" si="11"/>
        <v>0.8660000000000001</v>
      </c>
      <c r="E52" s="158">
        <f t="shared" si="11"/>
        <v>0</v>
      </c>
      <c r="F52" s="158">
        <f t="shared" si="11"/>
        <v>4.33</v>
      </c>
      <c r="G52" s="230">
        <f t="shared" si="11"/>
        <v>0.64949999999999997</v>
      </c>
      <c r="H52" s="230">
        <f t="shared" si="11"/>
        <v>0</v>
      </c>
      <c r="I52" s="159">
        <f t="shared" si="12"/>
        <v>14.5055</v>
      </c>
      <c r="J52" s="159"/>
      <c r="K52" s="137">
        <f t="shared" si="8"/>
        <v>11.5</v>
      </c>
      <c r="M52" s="158">
        <f t="shared" si="10"/>
        <v>-3.0054999999999996</v>
      </c>
    </row>
    <row r="53" spans="2:20" x14ac:dyDescent="0.25">
      <c r="B53" s="135">
        <v>41334</v>
      </c>
      <c r="C53" s="158">
        <f t="shared" si="11"/>
        <v>15.155000000000001</v>
      </c>
      <c r="D53" s="158">
        <f t="shared" si="11"/>
        <v>5.7733333333333334</v>
      </c>
      <c r="E53" s="158">
        <f t="shared" si="11"/>
        <v>11.546666666666667</v>
      </c>
      <c r="F53" s="158">
        <f t="shared" si="11"/>
        <v>0.72166666666666668</v>
      </c>
      <c r="G53" s="230">
        <f t="shared" si="11"/>
        <v>6.4950000000000001</v>
      </c>
      <c r="H53" s="230">
        <f t="shared" si="11"/>
        <v>0</v>
      </c>
      <c r="I53" s="159">
        <f t="shared" si="12"/>
        <v>39.691666666666663</v>
      </c>
      <c r="J53" s="159"/>
      <c r="K53" s="137">
        <f t="shared" si="8"/>
        <v>16.5</v>
      </c>
      <c r="M53" s="158">
        <f t="shared" si="10"/>
        <v>-23.191666666666663</v>
      </c>
    </row>
    <row r="54" spans="2:20" x14ac:dyDescent="0.25">
      <c r="B54" s="135">
        <v>41365</v>
      </c>
      <c r="C54" s="158">
        <f t="shared" si="11"/>
        <v>30.310000000000002</v>
      </c>
      <c r="D54" s="158">
        <f t="shared" si="11"/>
        <v>17.32</v>
      </c>
      <c r="E54" s="158">
        <f t="shared" si="11"/>
        <v>17.32</v>
      </c>
      <c r="F54" s="158">
        <f t="shared" si="11"/>
        <v>2.165</v>
      </c>
      <c r="G54" s="230">
        <f t="shared" si="11"/>
        <v>19.052000000000003</v>
      </c>
      <c r="H54" s="230">
        <f t="shared" si="11"/>
        <v>0</v>
      </c>
      <c r="I54" s="159">
        <f t="shared" si="12"/>
        <v>86.167000000000016</v>
      </c>
      <c r="J54" s="159"/>
      <c r="K54" s="137">
        <f t="shared" si="8"/>
        <v>26.5</v>
      </c>
      <c r="M54" s="158">
        <f t="shared" si="10"/>
        <v>-59.667000000000016</v>
      </c>
    </row>
    <row r="55" spans="2:20" x14ac:dyDescent="0.25">
      <c r="B55" s="160">
        <v>41395</v>
      </c>
      <c r="C55" s="161">
        <f t="shared" si="11"/>
        <v>69.28</v>
      </c>
      <c r="D55" s="161">
        <f t="shared" si="11"/>
        <v>34.64</v>
      </c>
      <c r="E55" s="161">
        <f t="shared" si="11"/>
        <v>34.64</v>
      </c>
      <c r="F55" s="161">
        <f t="shared" si="11"/>
        <v>4.33</v>
      </c>
      <c r="G55" s="235">
        <f t="shared" si="11"/>
        <v>38.104000000000006</v>
      </c>
      <c r="H55" s="235">
        <f t="shared" si="11"/>
        <v>0</v>
      </c>
      <c r="I55" s="159">
        <f t="shared" si="12"/>
        <v>180.99400000000003</v>
      </c>
      <c r="J55" s="159"/>
      <c r="K55" s="142">
        <f t="shared" si="8"/>
        <v>22.5</v>
      </c>
      <c r="L55" s="162"/>
      <c r="M55" s="163">
        <f t="shared" si="10"/>
        <v>-158.49400000000003</v>
      </c>
    </row>
    <row r="56" spans="2:20" x14ac:dyDescent="0.25">
      <c r="B56" s="145" t="s">
        <v>100</v>
      </c>
      <c r="C56" s="146">
        <f>SUM(C43:C54)*4.33</f>
        <v>684.33485000000019</v>
      </c>
      <c r="D56" s="146">
        <f t="shared" ref="D56:F56" si="13">SUM(D43:D54)*4.33</f>
        <v>202.17563833333335</v>
      </c>
      <c r="E56" s="146">
        <f t="shared" si="13"/>
        <v>443.72396666666663</v>
      </c>
      <c r="F56" s="146">
        <f t="shared" si="13"/>
        <v>118.43055166666667</v>
      </c>
      <c r="G56" s="236">
        <f>SUM(G43:H54)</f>
        <v>61.594250000000017</v>
      </c>
      <c r="H56" s="236"/>
      <c r="I56" s="146">
        <f>SUM(C56:G56)</f>
        <v>1510.2592566666669</v>
      </c>
      <c r="J56" s="164" t="s">
        <v>101</v>
      </c>
      <c r="K56" s="146">
        <f t="shared" si="8"/>
        <v>991.57</v>
      </c>
      <c r="L56" s="165" t="s">
        <v>101</v>
      </c>
      <c r="M56" s="146">
        <f>+K56-I56</f>
        <v>-518.68925666666689</v>
      </c>
    </row>
    <row r="57" spans="2:20" x14ac:dyDescent="0.25">
      <c r="M57" s="166"/>
    </row>
    <row r="80" spans="2:10" ht="15" customHeight="1" x14ac:dyDescent="0.25">
      <c r="B80" s="237" t="s">
        <v>102</v>
      </c>
      <c r="C80" s="237"/>
      <c r="D80" s="237"/>
      <c r="E80" s="237"/>
      <c r="F80" s="237"/>
      <c r="G80" s="237"/>
      <c r="H80" s="237"/>
      <c r="I80" s="140"/>
      <c r="J80" s="140"/>
    </row>
    <row r="81" spans="2:11" ht="30.75" thickBot="1" x14ac:dyDescent="0.3">
      <c r="B81" s="131" t="s">
        <v>78</v>
      </c>
      <c r="C81" s="156" t="s">
        <v>95</v>
      </c>
      <c r="D81" s="156" t="s">
        <v>96</v>
      </c>
      <c r="E81" s="156" t="s">
        <v>97</v>
      </c>
      <c r="F81" s="156" t="s">
        <v>98</v>
      </c>
      <c r="G81" s="232" t="s">
        <v>99</v>
      </c>
      <c r="H81" s="232"/>
      <c r="K81" s="167"/>
    </row>
    <row r="82" spans="2:11" x14ac:dyDescent="0.25">
      <c r="B82" s="135">
        <v>73901</v>
      </c>
      <c r="C82" s="137">
        <v>3</v>
      </c>
      <c r="D82" s="137">
        <v>3</v>
      </c>
      <c r="E82" s="137">
        <v>3</v>
      </c>
      <c r="F82" s="137">
        <v>1</v>
      </c>
      <c r="G82" s="238">
        <v>2.5</v>
      </c>
      <c r="H82" s="238"/>
    </row>
    <row r="83" spans="2:11" x14ac:dyDescent="0.25">
      <c r="B83" s="135">
        <v>41061</v>
      </c>
      <c r="C83" s="137">
        <f>+C82</f>
        <v>3</v>
      </c>
      <c r="D83" s="137">
        <f t="shared" ref="D83:F83" si="14">+D82</f>
        <v>3</v>
      </c>
      <c r="E83" s="137">
        <f t="shared" si="14"/>
        <v>3</v>
      </c>
      <c r="F83" s="137">
        <f t="shared" si="14"/>
        <v>1</v>
      </c>
      <c r="G83" s="234">
        <f>+G82</f>
        <v>2.5</v>
      </c>
      <c r="H83" s="234"/>
    </row>
    <row r="84" spans="2:11" x14ac:dyDescent="0.25">
      <c r="B84" s="135">
        <v>41091</v>
      </c>
      <c r="C84" s="137">
        <v>2</v>
      </c>
      <c r="D84" s="137">
        <v>3</v>
      </c>
      <c r="E84" s="137">
        <v>3</v>
      </c>
      <c r="F84" s="137">
        <v>1</v>
      </c>
      <c r="G84" s="234">
        <v>2</v>
      </c>
      <c r="H84" s="234"/>
    </row>
    <row r="85" spans="2:11" x14ac:dyDescent="0.25">
      <c r="B85" s="139">
        <v>41122</v>
      </c>
      <c r="C85" s="137">
        <v>2</v>
      </c>
      <c r="D85" s="137">
        <v>0</v>
      </c>
      <c r="E85" s="137">
        <v>1</v>
      </c>
      <c r="F85" s="137">
        <v>1</v>
      </c>
      <c r="G85" s="234">
        <v>1</v>
      </c>
      <c r="H85" s="234"/>
    </row>
    <row r="86" spans="2:11" x14ac:dyDescent="0.25">
      <c r="B86" s="139">
        <v>41153</v>
      </c>
      <c r="C86" s="137">
        <v>2</v>
      </c>
      <c r="D86" s="137">
        <v>0</v>
      </c>
      <c r="E86" s="137">
        <v>1</v>
      </c>
      <c r="F86" s="137">
        <v>1</v>
      </c>
      <c r="G86" s="234">
        <v>1</v>
      </c>
      <c r="H86" s="234"/>
    </row>
    <row r="87" spans="2:11" x14ac:dyDescent="0.25">
      <c r="B87" s="139">
        <v>41183</v>
      </c>
      <c r="C87" s="137">
        <v>2</v>
      </c>
      <c r="D87" s="137">
        <v>0</v>
      </c>
      <c r="E87" s="137">
        <v>1</v>
      </c>
      <c r="F87" s="137">
        <v>1</v>
      </c>
      <c r="G87" s="234">
        <v>1</v>
      </c>
      <c r="H87" s="234"/>
    </row>
    <row r="88" spans="2:11" x14ac:dyDescent="0.25">
      <c r="B88" s="139">
        <v>41214</v>
      </c>
      <c r="C88" s="137">
        <v>2</v>
      </c>
      <c r="D88" s="137">
        <v>0</v>
      </c>
      <c r="E88" s="137">
        <v>1</v>
      </c>
      <c r="F88" s="137">
        <v>1</v>
      </c>
      <c r="G88" s="234">
        <v>1</v>
      </c>
      <c r="H88" s="234"/>
    </row>
    <row r="89" spans="2:11" x14ac:dyDescent="0.25">
      <c r="B89" s="139">
        <v>41244</v>
      </c>
      <c r="C89" s="137">
        <v>2</v>
      </c>
      <c r="D89" s="137">
        <v>0</v>
      </c>
      <c r="E89" s="137">
        <v>1</v>
      </c>
      <c r="F89" s="137">
        <v>1</v>
      </c>
      <c r="G89" s="234">
        <v>1</v>
      </c>
      <c r="H89" s="234"/>
    </row>
    <row r="90" spans="2:11" x14ac:dyDescent="0.25">
      <c r="B90" s="135">
        <v>41275</v>
      </c>
      <c r="C90" s="137">
        <v>2</v>
      </c>
      <c r="D90" s="137">
        <v>0</v>
      </c>
      <c r="E90" s="137">
        <v>2</v>
      </c>
      <c r="F90" s="137">
        <v>1</v>
      </c>
      <c r="G90" s="234">
        <v>1</v>
      </c>
      <c r="H90" s="234"/>
    </row>
    <row r="91" spans="2:11" x14ac:dyDescent="0.25">
      <c r="B91" s="135">
        <v>41306</v>
      </c>
      <c r="C91" s="137">
        <v>2</v>
      </c>
      <c r="D91" s="137">
        <v>1</v>
      </c>
      <c r="E91" s="137">
        <v>2</v>
      </c>
      <c r="F91" s="137">
        <v>1</v>
      </c>
      <c r="G91" s="234">
        <v>1</v>
      </c>
      <c r="H91" s="234"/>
    </row>
    <row r="92" spans="2:11" x14ac:dyDescent="0.25">
      <c r="B92" s="135">
        <v>41334</v>
      </c>
      <c r="C92" s="168">
        <f>+C93/3</f>
        <v>1.1666666666666667</v>
      </c>
      <c r="D92" s="168">
        <f t="shared" ref="D92:F92" si="15">+D93/3</f>
        <v>1.3333333333333333</v>
      </c>
      <c r="E92" s="168">
        <f t="shared" si="15"/>
        <v>1.3333333333333333</v>
      </c>
      <c r="F92" s="168">
        <f t="shared" si="15"/>
        <v>0.33333333333333331</v>
      </c>
      <c r="G92" s="239">
        <f>+G93/2</f>
        <v>2</v>
      </c>
      <c r="H92" s="239"/>
    </row>
    <row r="93" spans="2:11" x14ac:dyDescent="0.25">
      <c r="B93" s="135">
        <v>41365</v>
      </c>
      <c r="C93" s="137">
        <v>3.5</v>
      </c>
      <c r="D93" s="137">
        <v>4</v>
      </c>
      <c r="E93" s="137">
        <v>4</v>
      </c>
      <c r="F93" s="137">
        <v>1</v>
      </c>
      <c r="G93" s="234">
        <v>4</v>
      </c>
      <c r="H93" s="234"/>
    </row>
    <row r="94" spans="2:11" ht="15.75" thickBot="1" x14ac:dyDescent="0.3">
      <c r="B94" s="169">
        <v>41395</v>
      </c>
      <c r="C94" s="170">
        <v>4</v>
      </c>
      <c r="D94" s="170">
        <v>4</v>
      </c>
      <c r="E94" s="170">
        <v>4</v>
      </c>
      <c r="F94" s="170">
        <v>1</v>
      </c>
      <c r="G94" s="240">
        <v>4</v>
      </c>
      <c r="H94" s="240"/>
    </row>
    <row r="96" spans="2:11" ht="15" customHeight="1" x14ac:dyDescent="0.25">
      <c r="B96" s="237" t="s">
        <v>103</v>
      </c>
      <c r="C96" s="237"/>
      <c r="D96" s="237"/>
      <c r="E96" s="237"/>
      <c r="F96" s="237"/>
      <c r="G96" s="237"/>
      <c r="H96" s="237"/>
      <c r="I96" s="140"/>
      <c r="J96" s="140"/>
    </row>
    <row r="97" spans="2:10" ht="30.75" thickBot="1" x14ac:dyDescent="0.3">
      <c r="B97" s="131" t="s">
        <v>78</v>
      </c>
      <c r="C97" s="156" t="s">
        <v>95</v>
      </c>
      <c r="D97" s="156" t="s">
        <v>96</v>
      </c>
      <c r="E97" s="156" t="s">
        <v>97</v>
      </c>
      <c r="F97" s="156" t="s">
        <v>98</v>
      </c>
      <c r="G97" s="232" t="s">
        <v>99</v>
      </c>
      <c r="H97" s="232"/>
      <c r="I97" s="140"/>
      <c r="J97" s="140"/>
    </row>
    <row r="98" spans="2:10" x14ac:dyDescent="0.25">
      <c r="B98" s="135">
        <v>73901</v>
      </c>
      <c r="C98" s="137">
        <v>3</v>
      </c>
      <c r="D98" s="137">
        <v>0.5</v>
      </c>
      <c r="E98" s="137">
        <v>2</v>
      </c>
      <c r="F98" s="137">
        <v>1.5</v>
      </c>
      <c r="G98" s="238">
        <v>1.5</v>
      </c>
      <c r="H98" s="238"/>
      <c r="I98" s="140"/>
      <c r="J98" s="140"/>
    </row>
    <row r="99" spans="2:10" x14ac:dyDescent="0.25">
      <c r="B99" s="135">
        <v>41061</v>
      </c>
      <c r="C99" s="137">
        <f>+C98/2</f>
        <v>1.5</v>
      </c>
      <c r="D99" s="137">
        <f t="shared" ref="D99:F99" si="16">+D98/2</f>
        <v>0.25</v>
      </c>
      <c r="E99" s="137">
        <f t="shared" si="16"/>
        <v>1</v>
      </c>
      <c r="F99" s="137">
        <f t="shared" si="16"/>
        <v>0.75</v>
      </c>
      <c r="G99" s="234">
        <f>+G98/2</f>
        <v>0.75</v>
      </c>
      <c r="H99" s="234"/>
      <c r="I99" s="140"/>
      <c r="J99" s="140"/>
    </row>
    <row r="100" spans="2:10" x14ac:dyDescent="0.25">
      <c r="B100" s="135">
        <v>41091</v>
      </c>
      <c r="C100" s="137">
        <v>2</v>
      </c>
      <c r="D100" s="137">
        <v>1</v>
      </c>
      <c r="E100" s="137">
        <v>2</v>
      </c>
      <c r="F100" s="137">
        <v>1</v>
      </c>
      <c r="G100" s="234">
        <v>1</v>
      </c>
      <c r="H100" s="234"/>
      <c r="I100" s="140"/>
      <c r="J100" s="140"/>
    </row>
    <row r="101" spans="2:10" x14ac:dyDescent="0.25">
      <c r="B101" s="171">
        <v>41122</v>
      </c>
      <c r="C101" s="137">
        <v>0.25</v>
      </c>
      <c r="D101" s="137">
        <v>0.2</v>
      </c>
      <c r="E101" s="137">
        <v>0</v>
      </c>
      <c r="F101" s="137">
        <v>1</v>
      </c>
      <c r="G101" s="234">
        <v>0.25</v>
      </c>
      <c r="H101" s="234"/>
      <c r="I101" s="140"/>
      <c r="J101" s="140"/>
    </row>
    <row r="102" spans="2:10" x14ac:dyDescent="0.25">
      <c r="B102" s="171">
        <v>41153</v>
      </c>
      <c r="C102" s="137">
        <v>0.25</v>
      </c>
      <c r="D102" s="137">
        <v>0.2</v>
      </c>
      <c r="E102" s="137">
        <v>1</v>
      </c>
      <c r="F102" s="137">
        <v>0</v>
      </c>
      <c r="G102" s="234">
        <v>0.15</v>
      </c>
      <c r="H102" s="234"/>
      <c r="I102" s="140"/>
      <c r="J102" s="140"/>
    </row>
    <row r="103" spans="2:10" x14ac:dyDescent="0.25">
      <c r="B103" s="171">
        <v>41183</v>
      </c>
      <c r="C103" s="137">
        <v>0.25</v>
      </c>
      <c r="D103" s="137">
        <v>0.2</v>
      </c>
      <c r="E103" s="137">
        <v>0</v>
      </c>
      <c r="F103" s="137">
        <v>0</v>
      </c>
      <c r="G103" s="234">
        <v>0.15</v>
      </c>
      <c r="H103" s="234"/>
      <c r="I103" s="140"/>
      <c r="J103" s="140"/>
    </row>
    <row r="104" spans="2:10" x14ac:dyDescent="0.25">
      <c r="B104" s="171">
        <v>41214</v>
      </c>
      <c r="C104" s="137">
        <v>0.25</v>
      </c>
      <c r="D104" s="137">
        <v>0.2</v>
      </c>
      <c r="E104" s="137">
        <v>0</v>
      </c>
      <c r="F104" s="137">
        <v>0.2</v>
      </c>
      <c r="G104" s="234">
        <v>0</v>
      </c>
      <c r="H104" s="234"/>
      <c r="I104" s="140"/>
      <c r="J104" s="140"/>
    </row>
    <row r="105" spans="2:10" x14ac:dyDescent="0.25">
      <c r="B105" s="171">
        <v>41244</v>
      </c>
      <c r="C105" s="137">
        <v>0.25</v>
      </c>
      <c r="D105" s="137">
        <v>0.2</v>
      </c>
      <c r="E105" s="137">
        <v>1</v>
      </c>
      <c r="F105" s="137">
        <v>0.2</v>
      </c>
      <c r="G105" s="234">
        <v>0</v>
      </c>
      <c r="H105" s="234"/>
      <c r="I105" s="140"/>
      <c r="J105" s="140"/>
    </row>
    <row r="106" spans="2:10" x14ac:dyDescent="0.25">
      <c r="B106" s="135">
        <v>41275</v>
      </c>
      <c r="C106" s="137">
        <v>2</v>
      </c>
      <c r="D106" s="137">
        <v>0.2</v>
      </c>
      <c r="E106" s="137">
        <v>0</v>
      </c>
      <c r="F106" s="137">
        <v>0</v>
      </c>
      <c r="G106" s="234">
        <v>0</v>
      </c>
      <c r="H106" s="234"/>
      <c r="I106" s="140"/>
      <c r="J106" s="140"/>
    </row>
    <row r="107" spans="2:10" x14ac:dyDescent="0.25">
      <c r="B107" s="135">
        <v>41306</v>
      </c>
      <c r="C107" s="137">
        <v>1</v>
      </c>
      <c r="D107" s="137">
        <v>0.2</v>
      </c>
      <c r="E107" s="137">
        <v>0</v>
      </c>
      <c r="F107" s="137">
        <v>1</v>
      </c>
      <c r="G107" s="234">
        <v>0.15</v>
      </c>
      <c r="H107" s="234"/>
      <c r="I107" s="140"/>
      <c r="J107" s="140"/>
    </row>
    <row r="108" spans="2:10" x14ac:dyDescent="0.25">
      <c r="B108" s="135">
        <v>41334</v>
      </c>
      <c r="C108" s="137">
        <v>3</v>
      </c>
      <c r="D108" s="137">
        <v>1</v>
      </c>
      <c r="E108" s="137">
        <v>2</v>
      </c>
      <c r="F108" s="137">
        <v>0.5</v>
      </c>
      <c r="G108" s="234">
        <v>0.75</v>
      </c>
      <c r="H108" s="234"/>
      <c r="I108" s="140"/>
      <c r="J108" s="140"/>
    </row>
    <row r="109" spans="2:10" x14ac:dyDescent="0.25">
      <c r="B109" s="135">
        <v>41365</v>
      </c>
      <c r="C109" s="137">
        <f>+C110/2</f>
        <v>2</v>
      </c>
      <c r="D109" s="137">
        <f t="shared" ref="D109:F109" si="17">+D110/2</f>
        <v>1</v>
      </c>
      <c r="E109" s="137">
        <f t="shared" si="17"/>
        <v>1</v>
      </c>
      <c r="F109" s="137">
        <f t="shared" si="17"/>
        <v>0.5</v>
      </c>
      <c r="G109" s="234">
        <f>+G110/2</f>
        <v>1.1000000000000001</v>
      </c>
      <c r="H109" s="234"/>
      <c r="I109" s="140"/>
      <c r="J109" s="140"/>
    </row>
    <row r="110" spans="2:10" ht="15.75" thickBot="1" x14ac:dyDescent="0.3">
      <c r="B110" s="169">
        <v>41395</v>
      </c>
      <c r="C110" s="170">
        <v>4</v>
      </c>
      <c r="D110" s="170">
        <v>2</v>
      </c>
      <c r="E110" s="170">
        <v>2</v>
      </c>
      <c r="F110" s="170">
        <v>1</v>
      </c>
      <c r="G110" s="240">
        <v>2.2000000000000002</v>
      </c>
      <c r="H110" s="240"/>
      <c r="I110" s="140"/>
      <c r="J110" s="140"/>
    </row>
    <row r="111" spans="2:10" x14ac:dyDescent="0.25">
      <c r="I111" s="140"/>
      <c r="J111" s="140"/>
    </row>
    <row r="112" spans="2:10" x14ac:dyDescent="0.25">
      <c r="I112" s="140"/>
      <c r="J112" s="140"/>
    </row>
    <row r="113" spans="9:10" x14ac:dyDescent="0.25">
      <c r="I113" s="140"/>
      <c r="J113" s="140"/>
    </row>
    <row r="114" spans="9:10" x14ac:dyDescent="0.25">
      <c r="I114" s="140"/>
      <c r="J114" s="140"/>
    </row>
    <row r="115" spans="9:10" x14ac:dyDescent="0.25">
      <c r="I115" s="140"/>
      <c r="J115" s="140"/>
    </row>
    <row r="116" spans="9:10" x14ac:dyDescent="0.25">
      <c r="I116" s="140"/>
      <c r="J116" s="140"/>
    </row>
    <row r="117" spans="9:10" x14ac:dyDescent="0.25">
      <c r="I117" s="140"/>
      <c r="J117" s="140"/>
    </row>
    <row r="118" spans="9:10" x14ac:dyDescent="0.25">
      <c r="I118" s="140"/>
      <c r="J118" s="140"/>
    </row>
    <row r="119" spans="9:10" x14ac:dyDescent="0.25">
      <c r="I119" s="140"/>
      <c r="J119" s="140"/>
    </row>
    <row r="120" spans="9:10" x14ac:dyDescent="0.25">
      <c r="I120" s="140"/>
      <c r="J120" s="140"/>
    </row>
    <row r="121" spans="9:10" x14ac:dyDescent="0.25">
      <c r="I121" s="140"/>
      <c r="J121" s="140"/>
    </row>
    <row r="122" spans="9:10" x14ac:dyDescent="0.25">
      <c r="I122" s="140"/>
      <c r="J122" s="140"/>
    </row>
    <row r="123" spans="9:10" x14ac:dyDescent="0.25">
      <c r="I123" s="140"/>
      <c r="J123" s="140"/>
    </row>
    <row r="124" spans="9:10" x14ac:dyDescent="0.25">
      <c r="I124" s="140"/>
      <c r="J124" s="140"/>
    </row>
  </sheetData>
  <mergeCells count="48">
    <mergeCell ref="G107:H107"/>
    <mergeCell ref="G108:H108"/>
    <mergeCell ref="G109:H109"/>
    <mergeCell ref="G110:H110"/>
    <mergeCell ref="B1:N1"/>
    <mergeCell ref="B21:N21"/>
    <mergeCell ref="G101:H101"/>
    <mergeCell ref="G102:H102"/>
    <mergeCell ref="G103:H103"/>
    <mergeCell ref="G104:H104"/>
    <mergeCell ref="G105:H105"/>
    <mergeCell ref="G106:H106"/>
    <mergeCell ref="G94:H94"/>
    <mergeCell ref="B96:H96"/>
    <mergeCell ref="G97:H97"/>
    <mergeCell ref="G98:H98"/>
    <mergeCell ref="G99:H99"/>
    <mergeCell ref="G100:H100"/>
    <mergeCell ref="G88:H88"/>
    <mergeCell ref="G89:H89"/>
    <mergeCell ref="G90:H90"/>
    <mergeCell ref="G91:H91"/>
    <mergeCell ref="G92:H92"/>
    <mergeCell ref="G93:H93"/>
    <mergeCell ref="G87:H87"/>
    <mergeCell ref="G53:H53"/>
    <mergeCell ref="G54:H54"/>
    <mergeCell ref="G55:H55"/>
    <mergeCell ref="G56:H56"/>
    <mergeCell ref="B80:H80"/>
    <mergeCell ref="G81:H81"/>
    <mergeCell ref="G82:H82"/>
    <mergeCell ref="G83:H83"/>
    <mergeCell ref="G84:H84"/>
    <mergeCell ref="G85:H85"/>
    <mergeCell ref="G86:H86"/>
    <mergeCell ref="G52:H52"/>
    <mergeCell ref="B41:I41"/>
    <mergeCell ref="G42:H42"/>
    <mergeCell ref="G43:H43"/>
    <mergeCell ref="G44:H44"/>
    <mergeCell ref="G45:H45"/>
    <mergeCell ref="G46:H46"/>
    <mergeCell ref="G47:H47"/>
    <mergeCell ref="G48:H48"/>
    <mergeCell ref="G49:H49"/>
    <mergeCell ref="G50:H50"/>
    <mergeCell ref="G51:H51"/>
  </mergeCells>
  <pageMargins left="0.7" right="0.7" top="0.75" bottom="0.75" header="0.3" footer="0.3"/>
  <pageSetup orientation="portrait"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60"/>
  <sheetViews>
    <sheetView topLeftCell="A13" zoomScale="90" zoomScaleNormal="90" workbookViewId="0">
      <selection activeCell="A65" sqref="A65"/>
    </sheetView>
  </sheetViews>
  <sheetFormatPr defaultRowHeight="12.75" x14ac:dyDescent="0.2"/>
  <cols>
    <col min="1" max="1" width="60.85546875" style="1" bestFit="1" customWidth="1"/>
    <col min="2" max="2" width="18" style="3" bestFit="1" customWidth="1"/>
    <col min="3" max="3" width="9.140625" style="1"/>
    <col min="4" max="4" width="16.5703125" style="3" bestFit="1" customWidth="1"/>
    <col min="5" max="5" width="9.140625" style="1"/>
    <col min="6" max="6" width="16.7109375" style="2" customWidth="1"/>
    <col min="7" max="7" width="10.28515625" style="1" bestFit="1" customWidth="1"/>
    <col min="8" max="8" width="24.5703125" style="1" customWidth="1"/>
    <col min="9" max="16384" width="9.140625" style="1"/>
  </cols>
  <sheetData>
    <row r="1" spans="1:9" customFormat="1" ht="15.75" x14ac:dyDescent="0.25">
      <c r="A1" s="53" t="s">
        <v>42</v>
      </c>
      <c r="B1" s="55"/>
      <c r="C1" s="53"/>
      <c r="D1" s="55"/>
      <c r="E1" s="53"/>
      <c r="F1" s="54"/>
      <c r="G1" s="53"/>
    </row>
    <row r="2" spans="1:9" customFormat="1" ht="15" x14ac:dyDescent="0.2">
      <c r="A2" s="52" t="s">
        <v>18</v>
      </c>
      <c r="B2" s="51"/>
      <c r="C2" s="48"/>
      <c r="D2" s="50"/>
      <c r="E2" s="48"/>
      <c r="F2" s="49"/>
      <c r="G2" s="48"/>
    </row>
    <row r="3" spans="1:9" customFormat="1" ht="15" x14ac:dyDescent="0.2">
      <c r="A3" s="52" t="s">
        <v>17</v>
      </c>
      <c r="B3" s="51"/>
      <c r="C3" s="48"/>
      <c r="D3" s="50"/>
      <c r="E3" s="48"/>
      <c r="F3" s="49"/>
      <c r="G3" s="48"/>
    </row>
    <row r="4" spans="1:9" customFormat="1" ht="15" x14ac:dyDescent="0.2">
      <c r="A4" s="117" t="s">
        <v>43</v>
      </c>
      <c r="B4" s="45"/>
      <c r="C4" s="42"/>
      <c r="D4" s="44"/>
      <c r="E4" s="42"/>
      <c r="F4" s="43"/>
      <c r="G4" s="42"/>
    </row>
    <row r="5" spans="1:9" customFormat="1" x14ac:dyDescent="0.2">
      <c r="A5" s="46"/>
      <c r="B5" s="45"/>
      <c r="C5" s="42"/>
      <c r="D5" s="44"/>
      <c r="E5" s="42"/>
      <c r="F5" s="43"/>
      <c r="G5" s="42"/>
    </row>
    <row r="6" spans="1:9" customFormat="1" x14ac:dyDescent="0.2">
      <c r="A6" s="46"/>
      <c r="B6" s="45"/>
      <c r="C6" s="42"/>
      <c r="D6" s="44"/>
      <c r="E6" s="42"/>
      <c r="F6" s="43"/>
      <c r="G6" s="42"/>
    </row>
    <row r="7" spans="1:9" ht="13.5" thickBot="1" x14ac:dyDescent="0.25">
      <c r="G7" s="8"/>
      <c r="H7" s="8"/>
    </row>
    <row r="8" spans="1:9" x14ac:dyDescent="0.2">
      <c r="A8" s="218" t="s">
        <v>16</v>
      </c>
      <c r="B8" s="219"/>
      <c r="C8" s="219"/>
      <c r="D8" s="219"/>
      <c r="E8" s="219"/>
      <c r="F8" s="220"/>
      <c r="G8" s="125"/>
      <c r="H8" s="125"/>
      <c r="I8" s="8"/>
    </row>
    <row r="9" spans="1:9" x14ac:dyDescent="0.2">
      <c r="A9" s="221"/>
      <c r="B9" s="222"/>
      <c r="C9" s="222"/>
      <c r="D9" s="222"/>
      <c r="E9" s="222"/>
      <c r="F9" s="223"/>
      <c r="G9" s="125"/>
      <c r="H9" s="125"/>
    </row>
    <row r="10" spans="1:9" x14ac:dyDescent="0.2">
      <c r="A10" s="221"/>
      <c r="B10" s="222"/>
      <c r="C10" s="222"/>
      <c r="D10" s="222"/>
      <c r="E10" s="222"/>
      <c r="F10" s="223"/>
      <c r="G10" s="125"/>
      <c r="H10" s="125"/>
    </row>
    <row r="11" spans="1:9" x14ac:dyDescent="0.2">
      <c r="A11" s="221"/>
      <c r="B11" s="222"/>
      <c r="C11" s="222"/>
      <c r="D11" s="222"/>
      <c r="E11" s="222"/>
      <c r="F11" s="223"/>
      <c r="G11" s="125"/>
      <c r="H11" s="125"/>
    </row>
    <row r="12" spans="1:9" x14ac:dyDescent="0.2">
      <c r="A12" s="221"/>
      <c r="B12" s="222"/>
      <c r="C12" s="222"/>
      <c r="D12" s="222"/>
      <c r="E12" s="222"/>
      <c r="F12" s="223"/>
      <c r="G12" s="125"/>
      <c r="H12" s="125"/>
    </row>
    <row r="13" spans="1:9" ht="13.5" thickBot="1" x14ac:dyDescent="0.25">
      <c r="A13" s="224"/>
      <c r="B13" s="225"/>
      <c r="C13" s="225"/>
      <c r="D13" s="225"/>
      <c r="E13" s="225"/>
      <c r="F13" s="226"/>
      <c r="G13" s="125"/>
      <c r="H13" s="125"/>
    </row>
    <row r="14" spans="1:9" customFormat="1" x14ac:dyDescent="0.2">
      <c r="A14" s="46"/>
      <c r="B14" s="45"/>
      <c r="C14" s="42"/>
      <c r="D14" s="44"/>
      <c r="E14" s="42"/>
      <c r="F14" s="43"/>
      <c r="G14" s="42"/>
    </row>
    <row r="15" spans="1:9" ht="15.75" x14ac:dyDescent="0.25">
      <c r="A15" s="29" t="s">
        <v>15</v>
      </c>
      <c r="B15" s="28"/>
      <c r="C15" s="27"/>
      <c r="D15" s="28"/>
      <c r="E15" s="27"/>
      <c r="F15" s="26"/>
      <c r="H15" s="41"/>
    </row>
    <row r="16" spans="1:9" x14ac:dyDescent="0.2">
      <c r="H16" s="20"/>
    </row>
    <row r="17" spans="1:8" x14ac:dyDescent="0.2">
      <c r="B17" s="40" t="s">
        <v>14</v>
      </c>
      <c r="D17" s="39" t="str">
        <f>TEXT(D22/$B$22,"00%")&amp;" Passed Back"</f>
        <v>61% Passed Back</v>
      </c>
      <c r="F17" s="38" t="str">
        <f>TEXT(F22/$B$22,"00%")&amp;" Retained"</f>
        <v>39% Retained</v>
      </c>
      <c r="H17" s="37"/>
    </row>
    <row r="18" spans="1:8" x14ac:dyDescent="0.2">
      <c r="A18" s="1" t="s">
        <v>13</v>
      </c>
      <c r="B18" s="36">
        <v>292961.99994565477</v>
      </c>
      <c r="D18" s="3">
        <f>+B18-F18</f>
        <v>179164.67462859818</v>
      </c>
      <c r="F18" s="3">
        <v>113797.32531705659</v>
      </c>
      <c r="H18" s="34"/>
    </row>
    <row r="19" spans="1:8" x14ac:dyDescent="0.2">
      <c r="B19" s="36"/>
      <c r="F19" s="3"/>
      <c r="H19" s="34"/>
    </row>
    <row r="20" spans="1:8" x14ac:dyDescent="0.2">
      <c r="A20" s="1" t="s">
        <v>12</v>
      </c>
      <c r="B20" s="36">
        <v>56928.998462984375</v>
      </c>
      <c r="D20" s="3">
        <f t="shared" ref="D20" si="0">+B20-F20</f>
        <v>34851.700737469997</v>
      </c>
      <c r="F20" s="3">
        <v>22077.297725514378</v>
      </c>
      <c r="G20" s="5"/>
      <c r="H20" s="34"/>
    </row>
    <row r="21" spans="1:8" x14ac:dyDescent="0.2">
      <c r="F21" s="35"/>
      <c r="H21" s="34"/>
    </row>
    <row r="22" spans="1:8" ht="13.5" thickBot="1" x14ac:dyDescent="0.25">
      <c r="A22" s="33" t="s">
        <v>11</v>
      </c>
      <c r="B22" s="11">
        <f>SUM(B18:B21)</f>
        <v>349890.99840863916</v>
      </c>
      <c r="D22" s="11">
        <f>SUM(D18:D21)</f>
        <v>214016.37536606818</v>
      </c>
      <c r="E22" s="32"/>
      <c r="F22" s="11">
        <f>SUM(F18:F21)</f>
        <v>135874.62304257095</v>
      </c>
      <c r="H22" s="6"/>
    </row>
    <row r="23" spans="1:8" x14ac:dyDescent="0.2">
      <c r="H23" s="20"/>
    </row>
    <row r="24" spans="1:8" x14ac:dyDescent="0.2">
      <c r="A24" s="24"/>
      <c r="B24" s="31"/>
      <c r="C24" s="24"/>
      <c r="D24" s="31"/>
      <c r="E24" s="24"/>
      <c r="F24" s="30"/>
      <c r="H24" s="20"/>
    </row>
    <row r="25" spans="1:8" ht="15.75" x14ac:dyDescent="0.25">
      <c r="A25" s="29" t="s">
        <v>10</v>
      </c>
      <c r="B25" s="28"/>
      <c r="C25" s="27"/>
      <c r="D25" s="28"/>
      <c r="E25" s="27"/>
      <c r="F25" s="26"/>
      <c r="H25" s="20"/>
    </row>
    <row r="26" spans="1:8" x14ac:dyDescent="0.2">
      <c r="H26" s="20"/>
    </row>
    <row r="27" spans="1:8" x14ac:dyDescent="0.2">
      <c r="A27" s="25" t="s">
        <v>9</v>
      </c>
      <c r="B27" s="23" t="s">
        <v>8</v>
      </c>
      <c r="C27" s="24"/>
      <c r="D27" s="23" t="s">
        <v>7</v>
      </c>
      <c r="E27" s="24"/>
      <c r="F27" s="23" t="s">
        <v>6</v>
      </c>
      <c r="H27" s="20"/>
    </row>
    <row r="28" spans="1:8" x14ac:dyDescent="0.2">
      <c r="A28" s="10"/>
      <c r="B28" s="22"/>
      <c r="C28" s="8"/>
      <c r="D28" s="22"/>
      <c r="E28" s="8"/>
      <c r="F28" s="22"/>
      <c r="H28" s="20"/>
    </row>
    <row r="29" spans="1:8" x14ac:dyDescent="0.2">
      <c r="A29" s="83" t="s">
        <v>69</v>
      </c>
      <c r="B29" s="14"/>
      <c r="D29" s="15"/>
      <c r="E29" s="14"/>
      <c r="F29" s="19"/>
      <c r="H29" s="12"/>
    </row>
    <row r="30" spans="1:8" x14ac:dyDescent="0.2">
      <c r="A30" s="17" t="s">
        <v>68</v>
      </c>
      <c r="B30" s="16"/>
      <c r="D30" s="15"/>
      <c r="E30" s="14"/>
      <c r="F30" s="13">
        <v>26743</v>
      </c>
      <c r="H30" s="12"/>
    </row>
    <row r="31" spans="1:8" x14ac:dyDescent="0.2">
      <c r="A31" s="17"/>
      <c r="B31" s="16"/>
      <c r="D31" s="15"/>
      <c r="E31" s="14"/>
      <c r="F31" s="13"/>
      <c r="H31" s="12"/>
    </row>
    <row r="32" spans="1:8" x14ac:dyDescent="0.2">
      <c r="A32" s="83" t="s">
        <v>70</v>
      </c>
      <c r="B32" s="14"/>
      <c r="D32" s="15"/>
      <c r="E32" s="14"/>
      <c r="F32" s="19"/>
      <c r="H32" s="12"/>
    </row>
    <row r="33" spans="1:8" x14ac:dyDescent="0.2">
      <c r="A33" s="17" t="s">
        <v>38</v>
      </c>
      <c r="B33" s="16">
        <f>+'Admin Time'!N16*0.3</f>
        <v>297.471</v>
      </c>
      <c r="C33" s="21"/>
      <c r="D33" s="15">
        <v>50</v>
      </c>
      <c r="E33" s="120"/>
      <c r="F33" s="19">
        <f>+B33*D33</f>
        <v>14873.55</v>
      </c>
      <c r="H33" s="12"/>
    </row>
    <row r="34" spans="1:8" x14ac:dyDescent="0.2">
      <c r="A34" s="17" t="s">
        <v>75</v>
      </c>
      <c r="B34" s="22"/>
      <c r="C34" s="8"/>
      <c r="D34" s="22"/>
      <c r="E34" s="8"/>
      <c r="F34" s="19">
        <v>20975</v>
      </c>
      <c r="H34" s="20"/>
    </row>
    <row r="35" spans="1:8" x14ac:dyDescent="0.2">
      <c r="A35" s="83" t="s">
        <v>71</v>
      </c>
      <c r="B35" s="14"/>
      <c r="D35" s="15"/>
      <c r="E35" s="14"/>
      <c r="F35" s="19"/>
      <c r="H35" s="12"/>
    </row>
    <row r="36" spans="1:8" x14ac:dyDescent="0.2">
      <c r="A36" s="17" t="s">
        <v>37</v>
      </c>
      <c r="B36" s="16"/>
      <c r="D36" s="15"/>
      <c r="E36" s="14"/>
      <c r="F36" s="19">
        <v>500</v>
      </c>
      <c r="H36" s="18"/>
    </row>
    <row r="37" spans="1:8" x14ac:dyDescent="0.2">
      <c r="A37" s="17" t="s">
        <v>5</v>
      </c>
      <c r="B37" s="16"/>
      <c r="D37" s="15"/>
      <c r="E37" s="14"/>
      <c r="F37" s="13">
        <v>9357.0300000000007</v>
      </c>
      <c r="G37" s="119"/>
    </row>
    <row r="38" spans="1:8" x14ac:dyDescent="0.2">
      <c r="A38" s="17"/>
      <c r="B38" s="16"/>
      <c r="D38" s="15"/>
      <c r="E38" s="14"/>
      <c r="F38" s="19"/>
      <c r="G38" s="119"/>
      <c r="H38" s="18"/>
    </row>
    <row r="39" spans="1:8" x14ac:dyDescent="0.2">
      <c r="A39" s="83" t="s">
        <v>72</v>
      </c>
      <c r="B39" s="14"/>
      <c r="D39" s="15"/>
      <c r="E39" s="14"/>
      <c r="F39" s="1"/>
      <c r="H39" s="12"/>
    </row>
    <row r="40" spans="1:8" x14ac:dyDescent="0.2">
      <c r="A40" s="17" t="s">
        <v>36</v>
      </c>
      <c r="B40" s="16"/>
      <c r="D40" s="15"/>
      <c r="E40" s="14"/>
      <c r="F40" s="19">
        <v>19671.830000000002</v>
      </c>
      <c r="H40" s="12"/>
    </row>
    <row r="41" spans="1:8" x14ac:dyDescent="0.2">
      <c r="A41" s="83"/>
      <c r="B41" s="14"/>
      <c r="D41" s="15"/>
      <c r="E41" s="14"/>
      <c r="F41" s="13"/>
      <c r="H41" s="12"/>
    </row>
    <row r="42" spans="1:8" x14ac:dyDescent="0.2">
      <c r="A42" s="83" t="s">
        <v>73</v>
      </c>
      <c r="B42" s="16"/>
      <c r="D42" s="15"/>
      <c r="E42" s="14"/>
      <c r="F42" s="13"/>
      <c r="H42" s="12"/>
    </row>
    <row r="43" spans="1:8" x14ac:dyDescent="0.2">
      <c r="A43" s="17" t="s">
        <v>76</v>
      </c>
      <c r="B43" s="16"/>
      <c r="D43" s="15"/>
      <c r="E43" s="14"/>
      <c r="F43" s="19">
        <v>4500</v>
      </c>
      <c r="H43" s="12"/>
    </row>
    <row r="44" spans="1:8" x14ac:dyDescent="0.2">
      <c r="A44" s="17" t="s">
        <v>77</v>
      </c>
      <c r="B44" s="16"/>
      <c r="D44" s="15"/>
      <c r="E44" s="14"/>
      <c r="F44" s="19"/>
      <c r="H44" s="12"/>
    </row>
    <row r="45" spans="1:8" x14ac:dyDescent="0.2">
      <c r="A45" s="83"/>
      <c r="B45" s="16"/>
      <c r="D45" s="15"/>
      <c r="E45" s="14"/>
      <c r="F45" s="13"/>
      <c r="H45" s="12"/>
    </row>
    <row r="46" spans="1:8" ht="13.5" thickBot="1" x14ac:dyDescent="0.25">
      <c r="A46" s="10" t="s">
        <v>4</v>
      </c>
      <c r="B46" s="9"/>
      <c r="C46" s="8"/>
      <c r="D46" s="9"/>
      <c r="E46" s="8"/>
      <c r="F46" s="11">
        <f>SUM(F28:F43)</f>
        <v>96620.41</v>
      </c>
      <c r="H46" s="6"/>
    </row>
    <row r="47" spans="1:8" x14ac:dyDescent="0.2">
      <c r="A47" s="10"/>
      <c r="B47" s="9"/>
      <c r="C47" s="8"/>
      <c r="D47" s="9"/>
      <c r="E47" s="8"/>
      <c r="F47" s="7"/>
      <c r="H47" s="6"/>
    </row>
    <row r="48" spans="1:8" x14ac:dyDescent="0.2">
      <c r="A48" s="10" t="s">
        <v>3</v>
      </c>
      <c r="B48" s="9"/>
      <c r="C48" s="8"/>
      <c r="D48" s="9"/>
      <c r="E48" s="8"/>
      <c r="F48" s="7">
        <f>F46*0.05</f>
        <v>4831.0205000000005</v>
      </c>
      <c r="H48" s="6"/>
    </row>
    <row r="49" spans="1:8" x14ac:dyDescent="0.2">
      <c r="A49" s="10"/>
      <c r="B49" s="9"/>
      <c r="C49" s="8"/>
      <c r="D49" s="9"/>
      <c r="E49" s="8"/>
      <c r="F49" s="7"/>
      <c r="H49" s="6"/>
    </row>
    <row r="50" spans="1:8" x14ac:dyDescent="0.2">
      <c r="A50" s="10" t="s">
        <v>2</v>
      </c>
      <c r="B50" s="9"/>
      <c r="C50" s="8"/>
      <c r="D50" s="9"/>
      <c r="E50" s="8"/>
      <c r="F50" s="129">
        <v>0</v>
      </c>
      <c r="H50" s="6"/>
    </row>
    <row r="51" spans="1:8" x14ac:dyDescent="0.2">
      <c r="A51" s="10" t="s">
        <v>1</v>
      </c>
      <c r="B51" s="9"/>
      <c r="C51" s="8"/>
      <c r="D51" s="9"/>
      <c r="E51" s="8"/>
      <c r="F51" s="121">
        <f>F50/'Impact on Recycling'!D41</f>
        <v>0</v>
      </c>
      <c r="G51" s="121"/>
      <c r="H51" s="6"/>
    </row>
    <row r="53" spans="1:8" ht="13.5" thickBot="1" x14ac:dyDescent="0.25">
      <c r="A53" s="10" t="s">
        <v>11</v>
      </c>
      <c r="B53" s="9"/>
      <c r="C53" s="8"/>
      <c r="D53" s="9"/>
      <c r="E53" s="8"/>
      <c r="F53" s="11">
        <f>IF((F46+F48)&lt;F22,(F46+F48),F22)</f>
        <v>101451.4305</v>
      </c>
      <c r="G53" s="176">
        <f>+F53/B22</f>
        <v>0.28995153050926575</v>
      </c>
    </row>
    <row r="54" spans="1:8" x14ac:dyDescent="0.2">
      <c r="A54" s="10"/>
      <c r="B54" s="9"/>
      <c r="C54" s="8"/>
      <c r="D54" s="9"/>
      <c r="E54" s="8"/>
      <c r="F54" s="7"/>
    </row>
    <row r="55" spans="1:8" s="126" customFormat="1" x14ac:dyDescent="0.2">
      <c r="A55" s="126" t="s">
        <v>0</v>
      </c>
      <c r="B55" s="127"/>
      <c r="D55" s="127"/>
      <c r="F55" s="128">
        <f>+F53-F22</f>
        <v>-34423.192542570949</v>
      </c>
    </row>
    <row r="56" spans="1:8" x14ac:dyDescent="0.2">
      <c r="F56" s="4"/>
    </row>
    <row r="57" spans="1:8" x14ac:dyDescent="0.2">
      <c r="C57" s="3"/>
      <c r="D57" s="1"/>
      <c r="E57" s="2"/>
      <c r="F57" s="200" t="s">
        <v>133</v>
      </c>
    </row>
    <row r="58" spans="1:8" x14ac:dyDescent="0.2">
      <c r="C58" s="200" t="s">
        <v>131</v>
      </c>
      <c r="D58" s="100">
        <v>36885</v>
      </c>
      <c r="E58" s="176">
        <f>D58/SUM($D$58:$D$59)</f>
        <v>0.82360165233895277</v>
      </c>
      <c r="F58" s="5">
        <f>E58*$F$55</f>
        <v>-28350.998256843352</v>
      </c>
    </row>
    <row r="59" spans="1:8" x14ac:dyDescent="0.2">
      <c r="C59" s="200" t="s">
        <v>132</v>
      </c>
      <c r="D59" s="100">
        <v>7900</v>
      </c>
      <c r="E59" s="176">
        <f>D59/SUM($D$58:$D$59)</f>
        <v>0.17639834766104723</v>
      </c>
      <c r="F59" s="5">
        <f>E59*$F$55</f>
        <v>-6072.1942857275981</v>
      </c>
    </row>
    <row r="60" spans="1:8" x14ac:dyDescent="0.2">
      <c r="C60" s="3"/>
      <c r="D60" s="1"/>
      <c r="E60" s="2"/>
      <c r="F60" s="201">
        <f>SUM(F58:F59)</f>
        <v>-34423.192542570949</v>
      </c>
    </row>
  </sheetData>
  <mergeCells count="1">
    <mergeCell ref="A8:F13"/>
  </mergeCells>
  <pageMargins left="0.7" right="0.7" top="0.75" bottom="0.75" header="0.3" footer="0.3"/>
  <pageSetup scale="7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015f1b76-b32e-440f-80a7-f0ca4d8a872c" ContentTypeId="0x0101006E56B4D1795A2E4DB2F0B01679ED314A" PreviousValue="true"/>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C8D22A2A9E5E8B40979F6A80266F0918" ma:contentTypeVersion="135" ma:contentTypeDescription="" ma:contentTypeScope="" ma:versionID="cf1fed048be56c6c31b8ffaa5a175d40">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4ccd4140794adb7bccf17b21b5812a9d"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TG</Prefix>
    <DocumentSetType xmlns="dc463f71-b30c-4ab2-9473-d307f9d35888">Report</DocumentSetType>
    <IsConfidential xmlns="dc463f71-b30c-4ab2-9473-d307f9d35888">false</IsConfidential>
    <AgendaOrder xmlns="dc463f71-b30c-4ab2-9473-d307f9d35888">false</AgendaOrder>
    <CaseType xmlns="dc463f71-b30c-4ab2-9473-d307f9d35888">Tariff Revision</CaseType>
    <IndustryCode xmlns="dc463f71-b30c-4ab2-9473-d307f9d35888">227</IndustryCode>
    <CaseStatus xmlns="dc463f71-b30c-4ab2-9473-d307f9d35888">Closed</CaseStatus>
    <OpenedDate xmlns="dc463f71-b30c-4ab2-9473-d307f9d35888">2013-06-17T07:00:00+00:00</OpenedDate>
    <Date1 xmlns="dc463f71-b30c-4ab2-9473-d307f9d35888">2013-06-20T07:00:00+00:00</Date1>
    <IsDocumentOrder xmlns="dc463f71-b30c-4ab2-9473-d307f9d35888" xsi:nil="true"/>
    <IsHighlyConfidential xmlns="dc463f71-b30c-4ab2-9473-d307f9d35888">false</IsHighlyConfidential>
    <CaseCompanyNames xmlns="dc463f71-b30c-4ab2-9473-d307f9d35888">RABANCO LTD</CaseCompanyNames>
    <DocketNumber xmlns="dc463f71-b30c-4ab2-9473-d307f9d35888">131159</DocketNumber>
    <DelegatedOrder xmlns="dc463f71-b30c-4ab2-9473-d307f9d35888">false</DelegatedOrder>
    <Visibility xmlns="dc463f71-b30c-4ab2-9473-d307f9d35888" xsi:nil="true"/>
    <Nickname xmlns="http://schemas.microsoft.com/sharepoint/v3" xsi:nil="true"/>
    <SignificantOrder xmlns="dc463f71-b30c-4ab2-9473-d307f9d35888">false</SignificantOrder>
  </documentManagement>
</p:properties>
</file>

<file path=customXml/itemProps1.xml><?xml version="1.0" encoding="utf-8"?>
<ds:datastoreItem xmlns:ds="http://schemas.openxmlformats.org/officeDocument/2006/customXml" ds:itemID="{DCD5B377-5EC3-436E-97BF-74EDAB973F95}"/>
</file>

<file path=customXml/itemProps2.xml><?xml version="1.0" encoding="utf-8"?>
<ds:datastoreItem xmlns:ds="http://schemas.openxmlformats.org/officeDocument/2006/customXml" ds:itemID="{6DD9E8BA-9B4F-456B-ABD8-5AB75AFA55BA}"/>
</file>

<file path=customXml/itemProps3.xml><?xml version="1.0" encoding="utf-8"?>
<ds:datastoreItem xmlns:ds="http://schemas.openxmlformats.org/officeDocument/2006/customXml" ds:itemID="{1950EADA-EA91-48D0-9D2C-0583E4F69035}"/>
</file>

<file path=customXml/itemProps4.xml><?xml version="1.0" encoding="utf-8"?>
<ds:datastoreItem xmlns:ds="http://schemas.openxmlformats.org/officeDocument/2006/customXml" ds:itemID="{FBD14A66-368B-46D5-A5E6-4479090CD88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5</vt:i4>
      </vt:variant>
    </vt:vector>
  </HeadingPairs>
  <TitlesOfParts>
    <vt:vector size="15" baseType="lpstr">
      <vt:lpstr>Cost Summary Sno</vt:lpstr>
      <vt:lpstr>Impact on Recycling</vt:lpstr>
      <vt:lpstr>Budget Summary</vt:lpstr>
      <vt:lpstr>yw May 2012-April 2013</vt:lpstr>
      <vt:lpstr>recycle May 2012-April 2013</vt:lpstr>
      <vt:lpstr>garbage May 2012-April 2013</vt:lpstr>
      <vt:lpstr>Tons - diverted</vt:lpstr>
      <vt:lpstr>Admin Time</vt:lpstr>
      <vt:lpstr>Cost Summary Sno (1)</vt:lpstr>
      <vt:lpstr>Cost Summary Sno (2)</vt:lpstr>
      <vt:lpstr>'Budget Summary'!Print_Area</vt:lpstr>
      <vt:lpstr>'Cost Summary Sno'!Print_Area</vt:lpstr>
      <vt:lpstr>'Cost Summary Sno (1)'!Print_Area</vt:lpstr>
      <vt:lpstr>'Cost Summary Sno (2)'!Print_Area</vt:lpstr>
      <vt:lpstr>'Impact on Recycling'!Print_Area</vt:lpstr>
    </vt:vector>
  </TitlesOfParts>
  <Company>Republic Services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Brenner, Alex</dc:creator>
  <cp:lastModifiedBy>Joni Higgins</cp:lastModifiedBy>
  <cp:lastPrinted>2013-06-13T03:27:54Z</cp:lastPrinted>
  <dcterms:created xsi:type="dcterms:W3CDTF">2012-06-14T15:23:48Z</dcterms:created>
  <dcterms:modified xsi:type="dcterms:W3CDTF">2013-06-24T16:32:48Z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0x0101006E56B4D1795A2E4DB2F0B01679ED314A00C8D22A2A9E5E8B40979F6A80266F0918</vt:lpwstr>
  </property>
  <property fmtid="{D5CDD505-2E9C-101B-9397-08002B2CF9AE}" pid="3" name="_docset_NoMedatataSyncRequired">
    <vt:lpwstr>False</vt:lpwstr>
  </property>
</Properties>
</file>